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way" sheetId="1" r:id="rId1"/>
    <sheet name="cons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9" i="1" l="1"/>
  <c r="D20" i="1" s="1"/>
  <c r="K20" i="1" s="1"/>
  <c r="L18" i="1"/>
  <c r="E19" i="1" s="1"/>
  <c r="K17" i="1"/>
  <c r="D18" i="1" s="1"/>
  <c r="K18" i="1" s="1"/>
  <c r="D19" i="1" s="1"/>
  <c r="F17" i="1"/>
  <c r="M17" i="1" s="1"/>
  <c r="F18" i="1" s="1"/>
  <c r="K13" i="1"/>
  <c r="D13" i="1"/>
  <c r="K12" i="1"/>
  <c r="E12" i="1"/>
  <c r="D12" i="1"/>
  <c r="B7" i="2"/>
  <c r="M16" i="1"/>
  <c r="F16" i="1"/>
  <c r="M15" i="1"/>
  <c r="F15" i="1"/>
  <c r="F11" i="1"/>
  <c r="M10" i="1"/>
  <c r="M9" i="1"/>
  <c r="F10" i="1" s="1"/>
  <c r="F9" i="1"/>
  <c r="M8" i="1"/>
  <c r="F8" i="1"/>
  <c r="M5" i="1"/>
  <c r="F6" i="1" s="1"/>
  <c r="F5" i="1"/>
  <c r="M4" i="1"/>
  <c r="L11" i="1"/>
  <c r="K11" i="1"/>
  <c r="D11" i="1"/>
  <c r="K10" i="1"/>
  <c r="K5" i="1"/>
  <c r="D6" i="1" s="1"/>
  <c r="B3" i="2"/>
  <c r="J4" i="1"/>
  <c r="L4" i="1" s="1"/>
  <c r="E5" i="1" s="1"/>
  <c r="D5" i="1"/>
  <c r="D15" i="1" l="1"/>
  <c r="K15" i="1" s="1"/>
  <c r="D16" i="1" s="1"/>
  <c r="D8" i="1"/>
  <c r="K8" i="1" s="1"/>
  <c r="D9" i="1" s="1"/>
  <c r="C5" i="1"/>
  <c r="J5" i="1" s="1"/>
  <c r="C6" i="1" l="1"/>
  <c r="C8" i="1" l="1"/>
  <c r="J8" i="1" s="1"/>
  <c r="C9" i="1" s="1"/>
  <c r="I9" i="1" s="1"/>
  <c r="K9" i="1" s="1"/>
  <c r="D10" i="1" s="1"/>
  <c r="C15" i="1"/>
  <c r="J15" i="1" s="1"/>
  <c r="C16" i="1" s="1"/>
  <c r="L5" i="1"/>
  <c r="E6" i="1" s="1"/>
  <c r="E15" i="1" s="1"/>
  <c r="L15" i="1" s="1"/>
  <c r="E16" i="1" s="1"/>
  <c r="E8" i="1" l="1"/>
  <c r="L8" i="1" s="1"/>
  <c r="E9" i="1" s="1"/>
  <c r="I16" i="1"/>
  <c r="K16" i="1" s="1"/>
  <c r="D17" i="1" s="1"/>
  <c r="J9" i="1"/>
  <c r="C10" i="1" s="1"/>
  <c r="J10" i="1" l="1"/>
  <c r="C11" i="1" s="1"/>
  <c r="J11" i="1" s="1"/>
  <c r="C12" i="1" s="1"/>
  <c r="J12" i="1" s="1"/>
  <c r="C13" i="1" s="1"/>
  <c r="J13" i="1" s="1"/>
  <c r="J16" i="1"/>
  <c r="L9" i="1"/>
  <c r="E10" i="1" s="1"/>
  <c r="L10" i="1" l="1"/>
  <c r="E11" i="1" s="1"/>
  <c r="M11" i="1" s="1"/>
  <c r="F12" i="1" s="1"/>
  <c r="L16" i="1"/>
  <c r="E17" i="1" s="1"/>
  <c r="C17" i="1"/>
  <c r="J17" i="1" s="1"/>
  <c r="C18" i="1" s="1"/>
  <c r="J18" i="1" s="1"/>
  <c r="C19" i="1" s="1"/>
  <c r="L12" i="1"/>
  <c r="E13" i="1" s="1"/>
  <c r="L13" i="1" s="1"/>
  <c r="M12" i="1" l="1"/>
  <c r="F13" i="1" s="1"/>
  <c r="M13" i="1" s="1"/>
  <c r="J19" i="1"/>
  <c r="C20" i="1" s="1"/>
  <c r="J20" i="1" s="1"/>
  <c r="L17" i="1"/>
  <c r="E18" i="1" s="1"/>
  <c r="M18" i="1" s="1"/>
  <c r="F19" i="1" s="1"/>
  <c r="L19" i="1" l="1"/>
  <c r="E20" i="1" s="1"/>
  <c r="L20" i="1" s="1"/>
  <c r="M19" i="1" l="1"/>
  <c r="F20" i="1" s="1"/>
  <c r="M20" i="1" s="1"/>
</calcChain>
</file>

<file path=xl/sharedStrings.xml><?xml version="1.0" encoding="utf-8"?>
<sst xmlns="http://schemas.openxmlformats.org/spreadsheetml/2006/main" count="46" uniqueCount="35">
  <si>
    <t>Gravity In</t>
  </si>
  <si>
    <t>Process</t>
  </si>
  <si>
    <t>Gravity Out</t>
  </si>
  <si>
    <t>Volume In (l)</t>
  </si>
  <si>
    <t>Temp In (C)</t>
  </si>
  <si>
    <t>Volume Out (l)</t>
  </si>
  <si>
    <t>Temp Out (C)</t>
  </si>
  <si>
    <t>Boil</t>
  </si>
  <si>
    <t>Boil 60min</t>
  </si>
  <si>
    <t>Step #</t>
  </si>
  <si>
    <t>Name</t>
  </si>
  <si>
    <t>boil off per h (l)</t>
  </si>
  <si>
    <t>Split 2 ways</t>
  </si>
  <si>
    <t>Stand 30min</t>
  </si>
  <si>
    <t>cooling shrinkage (per deg C)</t>
  </si>
  <si>
    <t>heat loss (deg C per h, amb 20C)</t>
  </si>
  <si>
    <t>Batch 1</t>
  </si>
  <si>
    <t>Batch 2</t>
  </si>
  <si>
    <t>specific heat of water Kj/(kg*K)</t>
  </si>
  <si>
    <t>Up to 20l, 5C water</t>
  </si>
  <si>
    <t>Ferment</t>
  </si>
  <si>
    <t>Dilute to 20l</t>
  </si>
  <si>
    <t>kettle trub loss (l)</t>
  </si>
  <si>
    <t>Cool to 20C</t>
  </si>
  <si>
    <t>Dilute to 15l</t>
  </si>
  <si>
    <t>Ferment to 1010</t>
  </si>
  <si>
    <t>ABV Out</t>
  </si>
  <si>
    <t>ABV In</t>
  </si>
  <si>
    <t>ABV const</t>
  </si>
  <si>
    <t>Package</t>
  </si>
  <si>
    <t>Fermenter trub loss (l)</t>
  </si>
  <si>
    <t>Bottling volume</t>
  </si>
  <si>
    <t>Cold Crash</t>
  </si>
  <si>
    <t>Crash to 2C</t>
  </si>
  <si>
    <t>Up to 15l, 5C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</si>
</sst>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0"/>
  <sheetViews>
    <sheetView tabSelected="1" workbookViewId="0">
      <selection activeCell="C4" sqref="C4"/>
    </sheetView>
  </sheetViews>
  <sheetFormatPr defaultRowHeight="15" x14ac:dyDescent="0.25"/>
  <cols>
    <col min="2" max="2" width="17" bestFit="1" customWidth="1"/>
    <col min="3" max="3" width="12.5703125" bestFit="1" customWidth="1"/>
    <col min="4" max="4" width="11.5703125" bestFit="1" customWidth="1"/>
    <col min="5" max="5" width="9.5703125" bestFit="1" customWidth="1"/>
    <col min="6" max="6" width="9.5703125" customWidth="1"/>
    <col min="8" max="8" width="17.7109375" bestFit="1" customWidth="1"/>
    <col min="10" max="10" width="14" customWidth="1"/>
    <col min="11" max="11" width="12.7109375" bestFit="1" customWidth="1"/>
    <col min="12" max="12" width="11" bestFit="1" customWidth="1"/>
  </cols>
  <sheetData>
    <row r="3" spans="1:13" x14ac:dyDescent="0.25">
      <c r="A3" s="1" t="s">
        <v>9</v>
      </c>
      <c r="B3" s="1" t="s">
        <v>10</v>
      </c>
      <c r="C3" s="1" t="s">
        <v>3</v>
      </c>
      <c r="D3" s="1" t="s">
        <v>4</v>
      </c>
      <c r="E3" s="1" t="s">
        <v>0</v>
      </c>
      <c r="F3" s="1" t="s">
        <v>27</v>
      </c>
      <c r="G3" s="1"/>
      <c r="H3" s="1" t="s">
        <v>1</v>
      </c>
      <c r="I3" s="1"/>
      <c r="J3" s="1" t="s">
        <v>5</v>
      </c>
      <c r="K3" s="1" t="s">
        <v>6</v>
      </c>
      <c r="L3" s="1" t="s">
        <v>2</v>
      </c>
      <c r="M3" s="1" t="s">
        <v>26</v>
      </c>
    </row>
    <row r="4" spans="1:13" x14ac:dyDescent="0.25">
      <c r="A4">
        <v>1</v>
      </c>
      <c r="B4" t="s">
        <v>7</v>
      </c>
      <c r="C4" s="2">
        <v>35</v>
      </c>
      <c r="D4" s="2">
        <v>60</v>
      </c>
      <c r="E4" s="2">
        <v>55</v>
      </c>
      <c r="F4">
        <v>0</v>
      </c>
      <c r="H4" t="s">
        <v>8</v>
      </c>
      <c r="J4">
        <f>C4-const!B2</f>
        <v>32</v>
      </c>
      <c r="K4" s="2">
        <v>100</v>
      </c>
      <c r="L4" s="3">
        <f>E4*C4/J4</f>
        <v>60.15625</v>
      </c>
      <c r="M4">
        <f>F4</f>
        <v>0</v>
      </c>
    </row>
    <row r="5" spans="1:13" x14ac:dyDescent="0.25">
      <c r="A5">
        <v>2</v>
      </c>
      <c r="B5" t="s">
        <v>13</v>
      </c>
      <c r="C5" s="2">
        <f t="shared" ref="C5:F6" si="0">J4</f>
        <v>32</v>
      </c>
      <c r="D5" s="2">
        <f t="shared" si="0"/>
        <v>100</v>
      </c>
      <c r="E5" s="2">
        <f t="shared" si="0"/>
        <v>60.15625</v>
      </c>
      <c r="F5">
        <f t="shared" si="0"/>
        <v>0</v>
      </c>
      <c r="H5" t="s">
        <v>13</v>
      </c>
      <c r="I5">
        <v>30</v>
      </c>
      <c r="J5" s="2">
        <f>C5*(1-(const!$B$3*I5/60))</f>
        <v>31.992000000000001</v>
      </c>
      <c r="K5" s="2">
        <f>D5-(const!B4*I5/60)</f>
        <v>85</v>
      </c>
      <c r="L5" s="3">
        <f>E5*C5/J5</f>
        <v>60.171292823205803</v>
      </c>
      <c r="M5">
        <f>F5</f>
        <v>0</v>
      </c>
    </row>
    <row r="6" spans="1:13" x14ac:dyDescent="0.25">
      <c r="A6">
        <v>3</v>
      </c>
      <c r="B6" t="s">
        <v>12</v>
      </c>
      <c r="C6" s="2">
        <f t="shared" si="0"/>
        <v>31.992000000000001</v>
      </c>
      <c r="D6" s="2">
        <f t="shared" si="0"/>
        <v>85</v>
      </c>
      <c r="E6" s="2">
        <f t="shared" si="0"/>
        <v>60.171292823205803</v>
      </c>
      <c r="F6">
        <f t="shared" si="0"/>
        <v>0</v>
      </c>
      <c r="H6" t="s">
        <v>12</v>
      </c>
      <c r="K6" s="2"/>
      <c r="L6" s="3"/>
    </row>
    <row r="7" spans="1:13" x14ac:dyDescent="0.25">
      <c r="C7" s="2"/>
      <c r="D7" s="2"/>
      <c r="E7" s="2"/>
      <c r="K7" s="2"/>
      <c r="L7" s="3"/>
    </row>
    <row r="8" spans="1:13" x14ac:dyDescent="0.25">
      <c r="A8">
        <v>1.4</v>
      </c>
      <c r="B8" t="s">
        <v>16</v>
      </c>
      <c r="C8" s="2">
        <f>(C6-const!$B$6)/2</f>
        <v>14.496</v>
      </c>
      <c r="D8" s="2">
        <f>D6</f>
        <v>85</v>
      </c>
      <c r="E8" s="2">
        <f>E6</f>
        <v>60.171292823205803</v>
      </c>
      <c r="F8">
        <f>F6</f>
        <v>0</v>
      </c>
      <c r="J8" s="2">
        <f>C8</f>
        <v>14.496</v>
      </c>
      <c r="K8" s="2">
        <f>D8</f>
        <v>85</v>
      </c>
      <c r="L8" s="3">
        <f>E8</f>
        <v>60.171292823205803</v>
      </c>
      <c r="M8">
        <f>F8</f>
        <v>0</v>
      </c>
    </row>
    <row r="9" spans="1:13" x14ac:dyDescent="0.25">
      <c r="A9">
        <v>1.5</v>
      </c>
      <c r="B9" t="s">
        <v>21</v>
      </c>
      <c r="C9" s="2">
        <f t="shared" ref="C9:F13" si="1">J8</f>
        <v>14.496</v>
      </c>
      <c r="D9" s="2">
        <f t="shared" si="1"/>
        <v>85</v>
      </c>
      <c r="E9" s="2">
        <f t="shared" si="1"/>
        <v>60.171292823205803</v>
      </c>
      <c r="F9">
        <f t="shared" si="1"/>
        <v>0</v>
      </c>
      <c r="G9">
        <v>5</v>
      </c>
      <c r="H9" t="s">
        <v>19</v>
      </c>
      <c r="I9">
        <f>20-C9</f>
        <v>5.5039999999999996</v>
      </c>
      <c r="J9" s="2">
        <f>C9+I9</f>
        <v>20</v>
      </c>
      <c r="K9" s="2">
        <f>(C9*D9*const!$B$5+I9*const!$B$5*G9)/(C9*const!$B$5+I9*const!$B$5)</f>
        <v>62.984000000000002</v>
      </c>
      <c r="L9" s="3">
        <f>E9*C9/J9</f>
        <v>43.612153038259564</v>
      </c>
      <c r="M9">
        <f>F9</f>
        <v>0</v>
      </c>
    </row>
    <row r="10" spans="1:13" x14ac:dyDescent="0.25">
      <c r="A10">
        <v>1.6</v>
      </c>
      <c r="B10" t="s">
        <v>23</v>
      </c>
      <c r="C10" s="2">
        <f t="shared" si="1"/>
        <v>20</v>
      </c>
      <c r="D10" s="2">
        <f t="shared" si="1"/>
        <v>62.984000000000002</v>
      </c>
      <c r="E10" s="2">
        <f t="shared" si="1"/>
        <v>43.612153038259564</v>
      </c>
      <c r="F10">
        <f t="shared" si="1"/>
        <v>0</v>
      </c>
      <c r="H10" t="s">
        <v>23</v>
      </c>
      <c r="I10">
        <v>20</v>
      </c>
      <c r="J10" s="2">
        <f>C10*(1-(const!$B$3*(D10-I10)))</f>
        <v>19.570160000000001</v>
      </c>
      <c r="K10" s="2">
        <f>I10</f>
        <v>20</v>
      </c>
      <c r="L10" s="3">
        <f>E10*C10/J10</f>
        <v>44.570052608930702</v>
      </c>
      <c r="M10">
        <f>F10</f>
        <v>0</v>
      </c>
    </row>
    <row r="11" spans="1:13" x14ac:dyDescent="0.25">
      <c r="A11">
        <v>1.7</v>
      </c>
      <c r="B11" t="s">
        <v>20</v>
      </c>
      <c r="C11" s="2">
        <f t="shared" si="1"/>
        <v>19.570160000000001</v>
      </c>
      <c r="D11" s="2">
        <f t="shared" si="1"/>
        <v>20</v>
      </c>
      <c r="E11" s="2">
        <f t="shared" si="1"/>
        <v>44.570052608930702</v>
      </c>
      <c r="F11">
        <f t="shared" si="1"/>
        <v>0</v>
      </c>
      <c r="H11" t="s">
        <v>25</v>
      </c>
      <c r="I11">
        <v>1010</v>
      </c>
      <c r="J11" s="2">
        <f>C11</f>
        <v>19.570160000000001</v>
      </c>
      <c r="K11" s="2">
        <f>D11</f>
        <v>20</v>
      </c>
      <c r="L11" s="3">
        <f>I11-1000</f>
        <v>10</v>
      </c>
      <c r="M11" s="2">
        <f>(E11-L11)/L11*const!$B$7</f>
        <v>4.5947538277692708</v>
      </c>
    </row>
    <row r="12" spans="1:13" x14ac:dyDescent="0.25">
      <c r="A12">
        <v>1.8</v>
      </c>
      <c r="B12" t="s">
        <v>32</v>
      </c>
      <c r="C12" s="2">
        <f t="shared" si="1"/>
        <v>19.570160000000001</v>
      </c>
      <c r="D12" s="2">
        <f t="shared" si="1"/>
        <v>20</v>
      </c>
      <c r="E12" s="2">
        <f t="shared" si="1"/>
        <v>10</v>
      </c>
      <c r="F12" s="2">
        <f t="shared" si="1"/>
        <v>4.5947538277692708</v>
      </c>
      <c r="H12" t="s">
        <v>33</v>
      </c>
      <c r="I12">
        <v>2</v>
      </c>
      <c r="J12" s="2">
        <f>C12*((1-const!B3*(D12-I12)))</f>
        <v>19.394028560000002</v>
      </c>
      <c r="K12" s="2">
        <f>I12</f>
        <v>2</v>
      </c>
      <c r="L12" s="3">
        <f>E12*C12/J12</f>
        <v>10.090817356205852</v>
      </c>
      <c r="M12" s="2">
        <f>F12*(1+(L12-E12)/E12)</f>
        <v>4.6364821672747434</v>
      </c>
    </row>
    <row r="13" spans="1:13" x14ac:dyDescent="0.25">
      <c r="A13">
        <v>1.9</v>
      </c>
      <c r="B13" t="s">
        <v>29</v>
      </c>
      <c r="C13" s="2">
        <f t="shared" si="1"/>
        <v>19.394028560000002</v>
      </c>
      <c r="D13" s="2">
        <f t="shared" si="1"/>
        <v>2</v>
      </c>
      <c r="E13" s="2">
        <f t="shared" si="1"/>
        <v>10.090817356205852</v>
      </c>
      <c r="F13" s="2">
        <f t="shared" si="1"/>
        <v>4.6364821672747434</v>
      </c>
      <c r="H13" t="s">
        <v>31</v>
      </c>
      <c r="J13" s="2">
        <f>C13-const!$B$8</f>
        <v>16.394028560000002</v>
      </c>
      <c r="K13" s="2">
        <f>D13</f>
        <v>2</v>
      </c>
      <c r="L13" s="3">
        <f>E13</f>
        <v>10.090817356205852</v>
      </c>
      <c r="M13" s="2">
        <f>F13</f>
        <v>4.6364821672747434</v>
      </c>
    </row>
    <row r="14" spans="1:13" x14ac:dyDescent="0.25">
      <c r="C14" s="2"/>
      <c r="D14" s="2"/>
      <c r="E14" s="2"/>
      <c r="K14" s="2"/>
      <c r="L14" s="3"/>
    </row>
    <row r="15" spans="1:13" x14ac:dyDescent="0.25">
      <c r="A15">
        <v>2.4</v>
      </c>
      <c r="B15" t="s">
        <v>17</v>
      </c>
      <c r="C15" s="2">
        <f>(C6-const!$B$6)/2</f>
        <v>14.496</v>
      </c>
      <c r="D15" s="2">
        <f>D6</f>
        <v>85</v>
      </c>
      <c r="E15" s="2">
        <f>E6</f>
        <v>60.171292823205803</v>
      </c>
      <c r="F15">
        <f>F6</f>
        <v>0</v>
      </c>
      <c r="J15" s="2">
        <f>C15</f>
        <v>14.496</v>
      </c>
      <c r="K15" s="2">
        <f>D15</f>
        <v>85</v>
      </c>
      <c r="L15" s="3">
        <f>E15</f>
        <v>60.171292823205803</v>
      </c>
      <c r="M15">
        <f>F15</f>
        <v>0</v>
      </c>
    </row>
    <row r="16" spans="1:13" x14ac:dyDescent="0.25">
      <c r="A16">
        <v>2.5</v>
      </c>
      <c r="B16" t="s">
        <v>24</v>
      </c>
      <c r="C16" s="2">
        <f t="shared" ref="C16:F20" si="2">J15</f>
        <v>14.496</v>
      </c>
      <c r="D16" s="2">
        <f t="shared" si="2"/>
        <v>85</v>
      </c>
      <c r="E16" s="2">
        <f t="shared" si="2"/>
        <v>60.171292823205803</v>
      </c>
      <c r="F16">
        <f t="shared" si="2"/>
        <v>0</v>
      </c>
      <c r="G16">
        <v>5</v>
      </c>
      <c r="H16" t="s">
        <v>34</v>
      </c>
      <c r="I16">
        <f>15-C16</f>
        <v>0.50399999999999956</v>
      </c>
      <c r="J16">
        <f>C16+I16</f>
        <v>15</v>
      </c>
      <c r="K16" s="2">
        <f>(C16*D16*const!$B$5+I16*const!$B$5*G16)/(C16*const!$B$5+I16*const!$B$5)</f>
        <v>82.311999999999998</v>
      </c>
      <c r="L16" s="3">
        <f>E16*C16/J16</f>
        <v>58.14953738434609</v>
      </c>
      <c r="M16">
        <f>F16</f>
        <v>0</v>
      </c>
    </row>
    <row r="17" spans="1:13" x14ac:dyDescent="0.25">
      <c r="A17">
        <v>2.6</v>
      </c>
      <c r="B17" t="s">
        <v>23</v>
      </c>
      <c r="C17" s="2">
        <f t="shared" si="2"/>
        <v>15</v>
      </c>
      <c r="D17" s="2">
        <f t="shared" si="2"/>
        <v>82.311999999999998</v>
      </c>
      <c r="E17" s="2">
        <f t="shared" si="2"/>
        <v>58.14953738434609</v>
      </c>
      <c r="F17">
        <f t="shared" si="2"/>
        <v>0</v>
      </c>
      <c r="H17" t="s">
        <v>23</v>
      </c>
      <c r="I17">
        <v>20</v>
      </c>
      <c r="J17" s="2">
        <f>C17*(1-(const!$B$3*I17))</f>
        <v>14.85</v>
      </c>
      <c r="K17" s="2">
        <f>I17</f>
        <v>20</v>
      </c>
      <c r="L17" s="3">
        <f>E17*C17/J17</f>
        <v>58.736906448834432</v>
      </c>
      <c r="M17">
        <f>F17</f>
        <v>0</v>
      </c>
    </row>
    <row r="18" spans="1:13" x14ac:dyDescent="0.25">
      <c r="A18">
        <v>2.7</v>
      </c>
      <c r="B18" t="s">
        <v>20</v>
      </c>
      <c r="C18" s="2">
        <f t="shared" si="2"/>
        <v>14.85</v>
      </c>
      <c r="D18" s="2">
        <f t="shared" si="2"/>
        <v>20</v>
      </c>
      <c r="E18" s="2">
        <f t="shared" si="2"/>
        <v>58.736906448834432</v>
      </c>
      <c r="F18">
        <f t="shared" si="2"/>
        <v>0</v>
      </c>
      <c r="H18" t="s">
        <v>25</v>
      </c>
      <c r="I18">
        <v>1010</v>
      </c>
      <c r="J18" s="2">
        <f>C18</f>
        <v>14.85</v>
      </c>
      <c r="K18" s="2">
        <f>D18</f>
        <v>20</v>
      </c>
      <c r="L18" s="3">
        <f>I18-1000</f>
        <v>10</v>
      </c>
      <c r="M18" s="2">
        <f>(E18-L18)/L18*const!$B$7</f>
        <v>6.4776900976298926</v>
      </c>
    </row>
    <row r="19" spans="1:13" x14ac:dyDescent="0.25">
      <c r="A19">
        <v>2.8</v>
      </c>
      <c r="B19" t="s">
        <v>32</v>
      </c>
      <c r="C19" s="2">
        <f t="shared" si="2"/>
        <v>14.85</v>
      </c>
      <c r="D19" s="2">
        <f t="shared" si="2"/>
        <v>20</v>
      </c>
      <c r="E19" s="2">
        <f t="shared" si="2"/>
        <v>10</v>
      </c>
      <c r="F19" s="2">
        <f t="shared" si="2"/>
        <v>6.4776900976298926</v>
      </c>
      <c r="H19" t="s">
        <v>33</v>
      </c>
      <c r="I19">
        <v>2</v>
      </c>
      <c r="J19" s="2">
        <f>C19*((1-const!B10*(D19-I19)))</f>
        <v>14.85</v>
      </c>
      <c r="K19" s="2">
        <f>I19</f>
        <v>2</v>
      </c>
      <c r="L19" s="3">
        <f>E19*C19/J19</f>
        <v>10</v>
      </c>
      <c r="M19" s="2">
        <f>F19*(1+(L19-E19)/E19)</f>
        <v>6.4776900976298926</v>
      </c>
    </row>
    <row r="20" spans="1:13" x14ac:dyDescent="0.25">
      <c r="A20">
        <v>2.9</v>
      </c>
      <c r="B20" t="s">
        <v>29</v>
      </c>
      <c r="C20" s="2">
        <f t="shared" si="2"/>
        <v>14.85</v>
      </c>
      <c r="D20" s="2">
        <f t="shared" si="2"/>
        <v>2</v>
      </c>
      <c r="E20" s="2">
        <f t="shared" si="2"/>
        <v>10</v>
      </c>
      <c r="F20" s="2">
        <f t="shared" si="2"/>
        <v>6.4776900976298926</v>
      </c>
      <c r="H20" t="s">
        <v>31</v>
      </c>
      <c r="J20" s="2">
        <f>C20-const!$B$8</f>
        <v>11.85</v>
      </c>
      <c r="K20" s="2">
        <f>D20</f>
        <v>2</v>
      </c>
      <c r="L20" s="3">
        <f>E20</f>
        <v>10</v>
      </c>
      <c r="M20" s="2">
        <f>F20</f>
        <v>6.4776900976298926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>
      <selection activeCell="B6" sqref="B6"/>
    </sheetView>
  </sheetViews>
  <sheetFormatPr defaultRowHeight="15" x14ac:dyDescent="0.25"/>
  <cols>
    <col min="1" max="1" width="29.7109375" bestFit="1" customWidth="1"/>
  </cols>
  <sheetData>
    <row r="2" spans="1:2" x14ac:dyDescent="0.25">
      <c r="A2" t="s">
        <v>11</v>
      </c>
      <c r="B2">
        <v>3</v>
      </c>
    </row>
    <row r="3" spans="1:2" x14ac:dyDescent="0.25">
      <c r="A3" t="s">
        <v>14</v>
      </c>
      <c r="B3">
        <f xml:space="preserve"> 0.04 /80</f>
        <v>5.0000000000000001E-4</v>
      </c>
    </row>
    <row r="4" spans="1:2" x14ac:dyDescent="0.25">
      <c r="A4" t="s">
        <v>15</v>
      </c>
      <c r="B4">
        <v>30</v>
      </c>
    </row>
    <row r="5" spans="1:2" x14ac:dyDescent="0.25">
      <c r="A5" t="s">
        <v>18</v>
      </c>
      <c r="B5">
        <v>4.2</v>
      </c>
    </row>
    <row r="6" spans="1:2" x14ac:dyDescent="0.25">
      <c r="A6" t="s">
        <v>22</v>
      </c>
      <c r="B6">
        <v>3</v>
      </c>
    </row>
    <row r="7" spans="1:2" x14ac:dyDescent="0.25">
      <c r="A7" t="s">
        <v>28</v>
      </c>
      <c r="B7">
        <f>1.05/0.79</f>
        <v>1.3291139240506329</v>
      </c>
    </row>
    <row r="8" spans="1:2" x14ac:dyDescent="0.25">
      <c r="A8" t="s">
        <v>30</v>
      </c>
      <c r="B8">
        <v>3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2way</vt:lpstr>
      <vt:lpstr>const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2018-09-04T15:32:18Z</dcterms:modified>
</cp:coreProperties>
</file>