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 activeTab="2"/>
  </bookViews>
  <sheets>
    <sheet name="2016 data" sheetId="1" r:id="rId1"/>
    <sheet name="running totals" sheetId="3" r:id="rId2"/>
    <sheet name="fixtures" sheetId="2" r:id="rId3"/>
    <sheet name="const" sheetId="4" r:id="rId4"/>
  </sheets>
  <calcPr calcId="145621"/>
</workbook>
</file>

<file path=xl/calcChain.xml><?xml version="1.0" encoding="utf-8"?>
<calcChain xmlns="http://schemas.openxmlformats.org/spreadsheetml/2006/main">
  <c r="C40" i="3" l="1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L10" i="2"/>
  <c r="L9" i="2"/>
  <c r="L8" i="2"/>
  <c r="L7" i="2"/>
  <c r="K7" i="2"/>
  <c r="L6" i="2"/>
  <c r="L5" i="2"/>
  <c r="L4" i="2"/>
  <c r="L3" i="2"/>
  <c r="L2" i="2"/>
  <c r="K2" i="2"/>
  <c r="J2" i="2"/>
  <c r="S2" i="2" s="1"/>
  <c r="Q2" i="2" l="1"/>
  <c r="R2" i="2"/>
  <c r="J10" i="2"/>
  <c r="J7" i="2"/>
  <c r="J9" i="2"/>
  <c r="J3" i="2"/>
  <c r="J5" i="2"/>
  <c r="J4" i="2"/>
  <c r="J6" i="2"/>
  <c r="J8" i="2"/>
  <c r="K3" i="2"/>
  <c r="K4" i="2"/>
  <c r="K5" i="2"/>
  <c r="K6" i="2"/>
  <c r="K8" i="2"/>
  <c r="K9" i="2"/>
  <c r="K10" i="2"/>
  <c r="E10" i="2"/>
  <c r="N10" i="2" s="1"/>
  <c r="D10" i="2"/>
  <c r="G10" i="2" s="1"/>
  <c r="E9" i="2"/>
  <c r="N9" i="2" s="1"/>
  <c r="D9" i="2"/>
  <c r="G9" i="2" s="1"/>
  <c r="E8" i="2"/>
  <c r="N8" i="2" s="1"/>
  <c r="D8" i="2"/>
  <c r="G8" i="2" s="1"/>
  <c r="E7" i="2"/>
  <c r="N7" i="2" s="1"/>
  <c r="D7" i="2"/>
  <c r="E6" i="2"/>
  <c r="N6" i="2" s="1"/>
  <c r="D6" i="2"/>
  <c r="G6" i="2" s="1"/>
  <c r="E5" i="2"/>
  <c r="N5" i="2" s="1"/>
  <c r="D5" i="2"/>
  <c r="G5" i="2" s="1"/>
  <c r="E4" i="2"/>
  <c r="N4" i="2" s="1"/>
  <c r="D4" i="2"/>
  <c r="G4" i="2" s="1"/>
  <c r="E3" i="2"/>
  <c r="N3" i="2" s="1"/>
  <c r="D3" i="2"/>
  <c r="G3" i="2" s="1"/>
  <c r="E2" i="2"/>
  <c r="N2" i="2" s="1"/>
  <c r="D2" i="2"/>
  <c r="R4" i="2" l="1"/>
  <c r="Q4" i="2"/>
  <c r="S4" i="2"/>
  <c r="S7" i="2"/>
  <c r="R7" i="2"/>
  <c r="Q7" i="2"/>
  <c r="Q5" i="2"/>
  <c r="S5" i="2"/>
  <c r="R5" i="2"/>
  <c r="S10" i="2"/>
  <c r="R10" i="2"/>
  <c r="Q10" i="2"/>
  <c r="R8" i="2"/>
  <c r="Q8" i="2"/>
  <c r="S8" i="2"/>
  <c r="S3" i="2"/>
  <c r="R3" i="2"/>
  <c r="Q3" i="2"/>
  <c r="R11" i="2"/>
  <c r="S6" i="2"/>
  <c r="R6" i="2"/>
  <c r="Q6" i="2"/>
  <c r="Q9" i="2"/>
  <c r="S9" i="2"/>
  <c r="R9" i="2"/>
  <c r="M7" i="2"/>
  <c r="G7" i="2"/>
  <c r="M2" i="2"/>
  <c r="G2" i="2"/>
  <c r="F2" i="2"/>
  <c r="F3" i="2"/>
  <c r="P3" i="2" s="1"/>
  <c r="M10" i="2"/>
  <c r="M6" i="2"/>
  <c r="M5" i="2"/>
  <c r="M9" i="2"/>
  <c r="M4" i="2"/>
  <c r="F4" i="2"/>
  <c r="P4" i="2" s="1"/>
  <c r="F6" i="2"/>
  <c r="P6" i="2" s="1"/>
  <c r="F8" i="2"/>
  <c r="P8" i="2" s="1"/>
  <c r="M8" i="2"/>
  <c r="M3" i="2"/>
  <c r="F10" i="2"/>
  <c r="P10" i="2" s="1"/>
  <c r="F5" i="2"/>
  <c r="P5" i="2" s="1"/>
  <c r="F9" i="2"/>
  <c r="P9" i="2" s="1"/>
  <c r="F7" i="2"/>
  <c r="P7" i="2" s="1"/>
  <c r="C19" i="1"/>
  <c r="C13" i="1"/>
  <c r="C9" i="1"/>
  <c r="C16" i="1"/>
  <c r="C6" i="1"/>
  <c r="C12" i="1"/>
  <c r="C15" i="1"/>
  <c r="C3" i="1"/>
  <c r="C20" i="1"/>
  <c r="C5" i="1"/>
  <c r="C17" i="1"/>
  <c r="C8" i="1"/>
  <c r="C7" i="1"/>
  <c r="C10" i="1"/>
  <c r="C4" i="1"/>
  <c r="C18" i="1"/>
  <c r="C14" i="1"/>
  <c r="C11" i="1"/>
  <c r="P2" i="2" l="1"/>
  <c r="S11" i="2" s="1"/>
  <c r="Q11" i="2"/>
</calcChain>
</file>

<file path=xl/sharedStrings.xml><?xml version="1.0" encoding="utf-8"?>
<sst xmlns="http://schemas.openxmlformats.org/spreadsheetml/2006/main" count="117" uniqueCount="57">
  <si>
    <t>Highlanders</t>
  </si>
  <si>
    <t>Lions</t>
  </si>
  <si>
    <t>Chiefs</t>
  </si>
  <si>
    <t>Crusaders</t>
  </si>
  <si>
    <t>Hurricanes</t>
  </si>
  <si>
    <t>Sharks</t>
  </si>
  <si>
    <t>Brumbies</t>
  </si>
  <si>
    <t>Blues</t>
  </si>
  <si>
    <t>Waratahs</t>
  </si>
  <si>
    <t>Stormers</t>
  </si>
  <si>
    <t>Bulls</t>
  </si>
  <si>
    <t>Rebels</t>
  </si>
  <si>
    <t>Reds</t>
  </si>
  <si>
    <t>Jaguares</t>
  </si>
  <si>
    <t>Force</t>
  </si>
  <si>
    <t>Cheetahs</t>
  </si>
  <si>
    <t>Kings</t>
  </si>
  <si>
    <t>Sunwolves</t>
  </si>
  <si>
    <t>P</t>
  </si>
  <si>
    <t>W</t>
  </si>
  <si>
    <t>PF</t>
  </si>
  <si>
    <t>PA</t>
  </si>
  <si>
    <t>PPG</t>
  </si>
  <si>
    <t>ELO (pts)</t>
  </si>
  <si>
    <t>D</t>
  </si>
  <si>
    <t>TF</t>
  </si>
  <si>
    <t>TA</t>
  </si>
  <si>
    <t>PD</t>
  </si>
  <si>
    <t>BP</t>
  </si>
  <si>
    <t>PTS</t>
  </si>
  <si>
    <t>L</t>
  </si>
  <si>
    <t>2016 (end of group stage)</t>
  </si>
  <si>
    <t>Home</t>
  </si>
  <si>
    <t>Away</t>
  </si>
  <si>
    <t>ROUND 1</t>
  </si>
  <si>
    <t>Home Actual Score</t>
  </si>
  <si>
    <t>Away Actual Score</t>
  </si>
  <si>
    <t>Home Actual %pts</t>
  </si>
  <si>
    <t>Away Actual %pts</t>
  </si>
  <si>
    <t>Away Predicted %pts</t>
  </si>
  <si>
    <t>Home Predicted %pts</t>
  </si>
  <si>
    <t>ELO k-factor</t>
  </si>
  <si>
    <t xml:space="preserve">Home new ELO </t>
  </si>
  <si>
    <t xml:space="preserve">Away new ELO </t>
  </si>
  <si>
    <t xml:space="preserve"> </t>
  </si>
  <si>
    <t>Actual Margin</t>
  </si>
  <si>
    <t>ELO (%pts)</t>
  </si>
  <si>
    <t>Played</t>
  </si>
  <si>
    <t>pts for</t>
  </si>
  <si>
    <t>ROUND 2</t>
  </si>
  <si>
    <t>Alan's Rounded Margin</t>
  </si>
  <si>
    <t>Rounded Margin Error</t>
  </si>
  <si>
    <t>MSE:</t>
  </si>
  <si>
    <t>Predicted Margin (pts for)</t>
  </si>
  <si>
    <t>Predicted Margin (pts for) Error</t>
  </si>
  <si>
    <t>Predicted Margin (tot pts for)</t>
  </si>
  <si>
    <t>Predicted Margin (tot pts for)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</si>
</sst>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1" applyNumberFormat="1" applyFont="1"/>
    <xf numFmtId="2" fontId="1" fillId="0" borderId="0" xfId="1" applyNumberFormat="1" applyFont="1"/>
    <xf numFmtId="0" fontId="1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H3" sqref="H3:H2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14" x14ac:dyDescent="0.25">
      <c r="A1" s="2" t="s">
        <v>31</v>
      </c>
    </row>
    <row r="2" spans="1:14" x14ac:dyDescent="0.25">
      <c r="B2" s="2" t="s">
        <v>46</v>
      </c>
      <c r="C2" s="2" t="s">
        <v>22</v>
      </c>
      <c r="D2" s="2" t="s">
        <v>18</v>
      </c>
      <c r="E2" s="2" t="s">
        <v>19</v>
      </c>
      <c r="F2" s="2" t="s">
        <v>24</v>
      </c>
      <c r="G2" s="2" t="s">
        <v>30</v>
      </c>
      <c r="H2" s="2" t="s">
        <v>20</v>
      </c>
      <c r="I2" s="2" t="s">
        <v>21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</row>
    <row r="3" spans="1:14" x14ac:dyDescent="0.25">
      <c r="A3" s="1" t="s">
        <v>7</v>
      </c>
      <c r="B3" s="1">
        <v>1516</v>
      </c>
      <c r="C3">
        <f t="shared" ref="C3:C20" si="0">H3/D3</f>
        <v>24.933333333333334</v>
      </c>
      <c r="D3">
        <v>15</v>
      </c>
      <c r="E3">
        <v>8</v>
      </c>
      <c r="F3">
        <v>1</v>
      </c>
      <c r="G3">
        <v>6</v>
      </c>
      <c r="H3">
        <v>374</v>
      </c>
      <c r="I3">
        <v>380</v>
      </c>
      <c r="J3">
        <v>45</v>
      </c>
      <c r="K3">
        <v>47</v>
      </c>
      <c r="L3">
        <v>-6</v>
      </c>
      <c r="M3">
        <v>5</v>
      </c>
      <c r="N3">
        <v>39</v>
      </c>
    </row>
    <row r="4" spans="1:14" x14ac:dyDescent="0.25">
      <c r="A4" s="1" t="s">
        <v>6</v>
      </c>
      <c r="B4" s="1">
        <v>1540</v>
      </c>
      <c r="C4">
        <f t="shared" si="0"/>
        <v>28.333333333333332</v>
      </c>
      <c r="D4">
        <v>15</v>
      </c>
      <c r="E4">
        <v>10</v>
      </c>
      <c r="F4">
        <v>0</v>
      </c>
      <c r="G4">
        <v>5</v>
      </c>
      <c r="H4">
        <v>425</v>
      </c>
      <c r="I4">
        <v>326</v>
      </c>
      <c r="J4">
        <v>56</v>
      </c>
      <c r="K4">
        <v>40</v>
      </c>
      <c r="L4">
        <v>99</v>
      </c>
      <c r="M4">
        <v>3</v>
      </c>
      <c r="N4">
        <v>43</v>
      </c>
    </row>
    <row r="5" spans="1:14" x14ac:dyDescent="0.25">
      <c r="A5" s="1" t="s">
        <v>10</v>
      </c>
      <c r="B5" s="1">
        <v>1472</v>
      </c>
      <c r="C5">
        <f t="shared" si="0"/>
        <v>26.6</v>
      </c>
      <c r="D5">
        <v>15</v>
      </c>
      <c r="E5">
        <v>9</v>
      </c>
      <c r="F5">
        <v>1</v>
      </c>
      <c r="G5">
        <v>5</v>
      </c>
      <c r="H5">
        <v>399</v>
      </c>
      <c r="I5">
        <v>339</v>
      </c>
      <c r="J5">
        <v>47</v>
      </c>
      <c r="K5">
        <v>37</v>
      </c>
      <c r="L5">
        <v>60</v>
      </c>
      <c r="M5">
        <v>4</v>
      </c>
      <c r="N5">
        <v>42</v>
      </c>
    </row>
    <row r="6" spans="1:14" x14ac:dyDescent="0.25">
      <c r="A6" s="1" t="s">
        <v>15</v>
      </c>
      <c r="B6" s="1">
        <v>1424</v>
      </c>
      <c r="C6">
        <f t="shared" si="0"/>
        <v>25.133333333333333</v>
      </c>
      <c r="D6">
        <v>15</v>
      </c>
      <c r="E6">
        <v>4</v>
      </c>
      <c r="F6">
        <v>0</v>
      </c>
      <c r="G6">
        <v>11</v>
      </c>
      <c r="H6">
        <v>377</v>
      </c>
      <c r="I6">
        <v>425</v>
      </c>
      <c r="J6">
        <v>47</v>
      </c>
      <c r="K6">
        <v>48</v>
      </c>
      <c r="L6">
        <v>-48</v>
      </c>
      <c r="M6">
        <v>5</v>
      </c>
      <c r="N6">
        <v>21</v>
      </c>
    </row>
    <row r="7" spans="1:14" x14ac:dyDescent="0.25">
      <c r="A7" s="1" t="s">
        <v>2</v>
      </c>
      <c r="B7" s="1">
        <v>1586</v>
      </c>
      <c r="C7">
        <f t="shared" si="0"/>
        <v>32.733333333333334</v>
      </c>
      <c r="D7">
        <v>15</v>
      </c>
      <c r="E7">
        <v>11</v>
      </c>
      <c r="F7">
        <v>0</v>
      </c>
      <c r="G7">
        <v>4</v>
      </c>
      <c r="H7">
        <v>491</v>
      </c>
      <c r="I7">
        <v>341</v>
      </c>
      <c r="J7">
        <v>68</v>
      </c>
      <c r="K7">
        <v>39</v>
      </c>
      <c r="L7">
        <v>150</v>
      </c>
      <c r="M7">
        <v>7</v>
      </c>
      <c r="N7">
        <v>51</v>
      </c>
    </row>
    <row r="8" spans="1:14" x14ac:dyDescent="0.25">
      <c r="A8" s="1" t="s">
        <v>3</v>
      </c>
      <c r="B8" s="1">
        <v>1596</v>
      </c>
      <c r="C8">
        <f t="shared" si="0"/>
        <v>32.466666666666669</v>
      </c>
      <c r="D8">
        <v>15</v>
      </c>
      <c r="E8">
        <v>11</v>
      </c>
      <c r="F8">
        <v>0</v>
      </c>
      <c r="G8">
        <v>4</v>
      </c>
      <c r="H8">
        <v>487</v>
      </c>
      <c r="I8">
        <v>317</v>
      </c>
      <c r="J8">
        <v>65</v>
      </c>
      <c r="K8">
        <v>40</v>
      </c>
      <c r="L8">
        <v>170</v>
      </c>
      <c r="M8">
        <v>6</v>
      </c>
      <c r="N8">
        <v>50</v>
      </c>
    </row>
    <row r="9" spans="1:14" x14ac:dyDescent="0.25">
      <c r="A9" s="1" t="s">
        <v>14</v>
      </c>
      <c r="B9" s="1">
        <v>1418</v>
      </c>
      <c r="C9">
        <f t="shared" si="0"/>
        <v>17.333333333333332</v>
      </c>
      <c r="D9">
        <v>15</v>
      </c>
      <c r="E9">
        <v>2</v>
      </c>
      <c r="F9">
        <v>0</v>
      </c>
      <c r="G9">
        <v>13</v>
      </c>
      <c r="H9">
        <v>260</v>
      </c>
      <c r="I9">
        <v>441</v>
      </c>
      <c r="J9">
        <v>25</v>
      </c>
      <c r="K9">
        <v>60</v>
      </c>
      <c r="L9">
        <v>-181</v>
      </c>
      <c r="M9">
        <v>5</v>
      </c>
      <c r="N9">
        <v>13</v>
      </c>
    </row>
    <row r="10" spans="1:14" x14ac:dyDescent="0.25">
      <c r="A10" s="1" t="s">
        <v>0</v>
      </c>
      <c r="B10" s="1">
        <v>1598</v>
      </c>
      <c r="C10">
        <f t="shared" si="0"/>
        <v>28.133333333333333</v>
      </c>
      <c r="D10">
        <v>15</v>
      </c>
      <c r="E10">
        <v>11</v>
      </c>
      <c r="F10">
        <v>0</v>
      </c>
      <c r="G10">
        <v>4</v>
      </c>
      <c r="H10">
        <v>422</v>
      </c>
      <c r="I10">
        <v>273</v>
      </c>
      <c r="J10">
        <v>50</v>
      </c>
      <c r="K10">
        <v>28</v>
      </c>
      <c r="L10">
        <v>149</v>
      </c>
      <c r="M10">
        <v>8</v>
      </c>
      <c r="N10">
        <v>52</v>
      </c>
    </row>
    <row r="11" spans="1:14" x14ac:dyDescent="0.25">
      <c r="A11" s="1" t="s">
        <v>4</v>
      </c>
      <c r="B11" s="1">
        <v>1571</v>
      </c>
      <c r="C11">
        <f t="shared" si="0"/>
        <v>30.533333333333335</v>
      </c>
      <c r="D11">
        <v>15</v>
      </c>
      <c r="E11">
        <v>11</v>
      </c>
      <c r="F11">
        <v>0</v>
      </c>
      <c r="G11">
        <v>4</v>
      </c>
      <c r="H11">
        <v>458</v>
      </c>
      <c r="I11">
        <v>314</v>
      </c>
      <c r="J11">
        <v>61</v>
      </c>
      <c r="K11">
        <v>37</v>
      </c>
      <c r="L11">
        <v>144</v>
      </c>
      <c r="M11">
        <v>9</v>
      </c>
      <c r="N11">
        <v>53</v>
      </c>
    </row>
    <row r="12" spans="1:14" x14ac:dyDescent="0.25">
      <c r="A12" s="1" t="s">
        <v>13</v>
      </c>
      <c r="B12" s="1">
        <v>1461</v>
      </c>
      <c r="C12">
        <f t="shared" si="0"/>
        <v>25.066666666666666</v>
      </c>
      <c r="D12">
        <v>15</v>
      </c>
      <c r="E12">
        <v>4</v>
      </c>
      <c r="F12">
        <v>0</v>
      </c>
      <c r="G12">
        <v>11</v>
      </c>
      <c r="H12">
        <v>376</v>
      </c>
      <c r="I12">
        <v>427</v>
      </c>
      <c r="J12">
        <v>44</v>
      </c>
      <c r="K12">
        <v>51</v>
      </c>
      <c r="L12">
        <v>-51</v>
      </c>
      <c r="M12">
        <v>6</v>
      </c>
      <c r="N12">
        <v>22</v>
      </c>
    </row>
    <row r="13" spans="1:14" x14ac:dyDescent="0.25">
      <c r="A13" s="1" t="s">
        <v>16</v>
      </c>
      <c r="B13" s="1">
        <v>1359</v>
      </c>
      <c r="C13">
        <f t="shared" si="0"/>
        <v>18.8</v>
      </c>
      <c r="D13">
        <v>15</v>
      </c>
      <c r="E13">
        <v>2</v>
      </c>
      <c r="F13">
        <v>0</v>
      </c>
      <c r="G13">
        <v>13</v>
      </c>
      <c r="H13">
        <v>282</v>
      </c>
      <c r="I13">
        <v>684</v>
      </c>
      <c r="J13">
        <v>34</v>
      </c>
      <c r="K13">
        <v>95</v>
      </c>
      <c r="L13">
        <v>-402</v>
      </c>
      <c r="M13">
        <v>1</v>
      </c>
      <c r="N13">
        <v>9</v>
      </c>
    </row>
    <row r="14" spans="1:14" x14ac:dyDescent="0.25">
      <c r="A14" s="1" t="s">
        <v>1</v>
      </c>
      <c r="B14" s="1">
        <v>1593</v>
      </c>
      <c r="C14">
        <f t="shared" si="0"/>
        <v>35.666666666666664</v>
      </c>
      <c r="D14">
        <v>15</v>
      </c>
      <c r="E14">
        <v>11</v>
      </c>
      <c r="F14">
        <v>0</v>
      </c>
      <c r="G14">
        <v>4</v>
      </c>
      <c r="H14">
        <v>535</v>
      </c>
      <c r="I14">
        <v>349</v>
      </c>
      <c r="J14">
        <v>71</v>
      </c>
      <c r="K14">
        <v>42</v>
      </c>
      <c r="L14">
        <v>186</v>
      </c>
      <c r="M14">
        <v>8</v>
      </c>
      <c r="N14">
        <v>52</v>
      </c>
    </row>
    <row r="15" spans="1:14" x14ac:dyDescent="0.25">
      <c r="A15" s="1" t="s">
        <v>11</v>
      </c>
      <c r="B15" s="1">
        <v>1457</v>
      </c>
      <c r="C15">
        <f t="shared" si="0"/>
        <v>24.333333333333332</v>
      </c>
      <c r="D15">
        <v>15</v>
      </c>
      <c r="E15">
        <v>7</v>
      </c>
      <c r="F15">
        <v>0</v>
      </c>
      <c r="G15">
        <v>8</v>
      </c>
      <c r="H15">
        <v>365</v>
      </c>
      <c r="I15">
        <v>486</v>
      </c>
      <c r="J15">
        <v>46</v>
      </c>
      <c r="K15">
        <v>65</v>
      </c>
      <c r="L15">
        <v>-121</v>
      </c>
      <c r="M15">
        <v>3</v>
      </c>
      <c r="N15">
        <v>31</v>
      </c>
    </row>
    <row r="16" spans="1:14" x14ac:dyDescent="0.25">
      <c r="A16" s="1" t="s">
        <v>12</v>
      </c>
      <c r="B16" s="1">
        <v>1418</v>
      </c>
      <c r="C16">
        <f t="shared" si="0"/>
        <v>19.333333333333332</v>
      </c>
      <c r="D16">
        <v>15</v>
      </c>
      <c r="E16">
        <v>3</v>
      </c>
      <c r="F16">
        <v>1</v>
      </c>
      <c r="G16">
        <v>11</v>
      </c>
      <c r="H16">
        <v>290</v>
      </c>
      <c r="I16">
        <v>458</v>
      </c>
      <c r="J16">
        <v>33</v>
      </c>
      <c r="K16">
        <v>57</v>
      </c>
      <c r="L16">
        <v>-168</v>
      </c>
      <c r="M16">
        <v>3</v>
      </c>
      <c r="N16">
        <v>17</v>
      </c>
    </row>
    <row r="17" spans="1:14" x14ac:dyDescent="0.25">
      <c r="A17" s="1" t="s">
        <v>5</v>
      </c>
      <c r="B17" s="1">
        <v>1550</v>
      </c>
      <c r="C17">
        <f t="shared" si="0"/>
        <v>24</v>
      </c>
      <c r="D17">
        <v>15</v>
      </c>
      <c r="E17">
        <v>9</v>
      </c>
      <c r="F17">
        <v>1</v>
      </c>
      <c r="G17">
        <v>5</v>
      </c>
      <c r="H17">
        <v>360</v>
      </c>
      <c r="I17">
        <v>269</v>
      </c>
      <c r="J17">
        <v>40</v>
      </c>
      <c r="K17">
        <v>30</v>
      </c>
      <c r="L17">
        <v>91</v>
      </c>
      <c r="M17">
        <v>5</v>
      </c>
      <c r="N17">
        <v>43</v>
      </c>
    </row>
    <row r="18" spans="1:14" x14ac:dyDescent="0.25">
      <c r="A18" s="1" t="s">
        <v>9</v>
      </c>
      <c r="B18" s="1">
        <v>1542</v>
      </c>
      <c r="C18">
        <f t="shared" si="0"/>
        <v>29.333333333333332</v>
      </c>
      <c r="D18">
        <v>15</v>
      </c>
      <c r="E18">
        <v>10</v>
      </c>
      <c r="F18">
        <v>1</v>
      </c>
      <c r="G18">
        <v>4</v>
      </c>
      <c r="H18">
        <v>440</v>
      </c>
      <c r="I18">
        <v>274</v>
      </c>
      <c r="J18">
        <v>49</v>
      </c>
      <c r="K18">
        <v>28</v>
      </c>
      <c r="L18">
        <v>166</v>
      </c>
      <c r="M18">
        <v>9</v>
      </c>
      <c r="N18">
        <v>51</v>
      </c>
    </row>
    <row r="19" spans="1:14" x14ac:dyDescent="0.25">
      <c r="A19" s="1" t="s">
        <v>17</v>
      </c>
      <c r="B19" s="1">
        <v>1345</v>
      </c>
      <c r="C19">
        <f t="shared" si="0"/>
        <v>19.533333333333335</v>
      </c>
      <c r="D19">
        <v>15</v>
      </c>
      <c r="E19">
        <v>1</v>
      </c>
      <c r="F19">
        <v>1</v>
      </c>
      <c r="G19">
        <v>13</v>
      </c>
      <c r="H19">
        <v>293</v>
      </c>
      <c r="I19">
        <v>627</v>
      </c>
      <c r="J19">
        <v>33</v>
      </c>
      <c r="K19">
        <v>88</v>
      </c>
      <c r="L19">
        <v>-334</v>
      </c>
      <c r="M19">
        <v>3</v>
      </c>
      <c r="N19">
        <v>9</v>
      </c>
    </row>
    <row r="20" spans="1:14" x14ac:dyDescent="0.25">
      <c r="A20" s="1" t="s">
        <v>8</v>
      </c>
      <c r="B20" s="1">
        <v>1544</v>
      </c>
      <c r="C20">
        <f t="shared" si="0"/>
        <v>27.533333333333335</v>
      </c>
      <c r="D20">
        <v>15</v>
      </c>
      <c r="E20">
        <v>8</v>
      </c>
      <c r="F20">
        <v>0</v>
      </c>
      <c r="G20">
        <v>7</v>
      </c>
      <c r="H20">
        <v>413</v>
      </c>
      <c r="I20">
        <v>317</v>
      </c>
      <c r="J20">
        <v>55</v>
      </c>
      <c r="K20">
        <v>37</v>
      </c>
      <c r="L20">
        <v>96</v>
      </c>
      <c r="M20">
        <v>8</v>
      </c>
      <c r="N20">
        <v>40</v>
      </c>
    </row>
    <row r="24" spans="1:14" x14ac:dyDescent="0.25">
      <c r="A24" s="2"/>
    </row>
  </sheetData>
  <sortState ref="A25:M42">
    <sortCondition ref="A25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0" workbookViewId="0">
      <selection activeCell="E23" sqref="E23:E40"/>
    </sheetView>
  </sheetViews>
  <sheetFormatPr defaultRowHeight="15" x14ac:dyDescent="0.25"/>
  <cols>
    <col min="1" max="1" width="10.7109375" customWidth="1"/>
  </cols>
  <sheetData>
    <row r="1" spans="1:5" x14ac:dyDescent="0.25">
      <c r="A1" s="2"/>
      <c r="B1" s="2" t="s">
        <v>23</v>
      </c>
      <c r="C1" s="2" t="s">
        <v>22</v>
      </c>
      <c r="D1" s="2" t="s">
        <v>47</v>
      </c>
      <c r="E1" s="2" t="s">
        <v>48</v>
      </c>
    </row>
    <row r="2" spans="1:5" x14ac:dyDescent="0.25">
      <c r="A2" s="2" t="s">
        <v>34</v>
      </c>
      <c r="B2" s="2"/>
      <c r="C2" s="2"/>
    </row>
    <row r="3" spans="1:5" x14ac:dyDescent="0.25">
      <c r="A3" t="s">
        <v>7</v>
      </c>
      <c r="B3">
        <v>1516</v>
      </c>
      <c r="C3" s="6">
        <f>E3/D3</f>
        <v>24.933333333333334</v>
      </c>
      <c r="D3">
        <v>15</v>
      </c>
      <c r="E3">
        <v>374</v>
      </c>
    </row>
    <row r="4" spans="1:5" x14ac:dyDescent="0.25">
      <c r="A4" t="s">
        <v>6</v>
      </c>
      <c r="B4">
        <v>1540</v>
      </c>
      <c r="C4" s="6">
        <f t="shared" ref="C4:C20" si="0">E4/D4</f>
        <v>28.333333333333332</v>
      </c>
      <c r="D4">
        <v>15</v>
      </c>
      <c r="E4">
        <v>425</v>
      </c>
    </row>
    <row r="5" spans="1:5" x14ac:dyDescent="0.25">
      <c r="A5" t="s">
        <v>10</v>
      </c>
      <c r="B5">
        <v>1472</v>
      </c>
      <c r="C5" s="6">
        <f t="shared" si="0"/>
        <v>26.6</v>
      </c>
      <c r="D5">
        <v>15</v>
      </c>
      <c r="E5">
        <v>399</v>
      </c>
    </row>
    <row r="6" spans="1:5" x14ac:dyDescent="0.25">
      <c r="A6" t="s">
        <v>15</v>
      </c>
      <c r="B6">
        <v>1424</v>
      </c>
      <c r="C6" s="6">
        <f t="shared" si="0"/>
        <v>25.133333333333333</v>
      </c>
      <c r="D6">
        <v>15</v>
      </c>
      <c r="E6">
        <v>377</v>
      </c>
    </row>
    <row r="7" spans="1:5" x14ac:dyDescent="0.25">
      <c r="A7" t="s">
        <v>2</v>
      </c>
      <c r="B7">
        <v>1586</v>
      </c>
      <c r="C7" s="6">
        <f t="shared" si="0"/>
        <v>32.733333333333334</v>
      </c>
      <c r="D7">
        <v>15</v>
      </c>
      <c r="E7">
        <v>491</v>
      </c>
    </row>
    <row r="8" spans="1:5" x14ac:dyDescent="0.25">
      <c r="A8" t="s">
        <v>3</v>
      </c>
      <c r="B8">
        <v>1596</v>
      </c>
      <c r="C8" s="6">
        <f t="shared" si="0"/>
        <v>32.466666666666669</v>
      </c>
      <c r="D8">
        <v>15</v>
      </c>
      <c r="E8">
        <v>487</v>
      </c>
    </row>
    <row r="9" spans="1:5" x14ac:dyDescent="0.25">
      <c r="A9" t="s">
        <v>14</v>
      </c>
      <c r="B9">
        <v>1418</v>
      </c>
      <c r="C9" s="6">
        <f t="shared" si="0"/>
        <v>17.333333333333332</v>
      </c>
      <c r="D9">
        <v>15</v>
      </c>
      <c r="E9">
        <v>260</v>
      </c>
    </row>
    <row r="10" spans="1:5" x14ac:dyDescent="0.25">
      <c r="A10" t="s">
        <v>0</v>
      </c>
      <c r="B10">
        <v>1598</v>
      </c>
      <c r="C10" s="6">
        <f t="shared" si="0"/>
        <v>28.133333333333333</v>
      </c>
      <c r="D10">
        <v>15</v>
      </c>
      <c r="E10">
        <v>422</v>
      </c>
    </row>
    <row r="11" spans="1:5" x14ac:dyDescent="0.25">
      <c r="A11" t="s">
        <v>4</v>
      </c>
      <c r="B11">
        <v>1571</v>
      </c>
      <c r="C11" s="6">
        <f t="shared" si="0"/>
        <v>30.533333333333335</v>
      </c>
      <c r="D11">
        <v>15</v>
      </c>
      <c r="E11">
        <v>458</v>
      </c>
    </row>
    <row r="12" spans="1:5" x14ac:dyDescent="0.25">
      <c r="A12" t="s">
        <v>13</v>
      </c>
      <c r="B12">
        <v>1461</v>
      </c>
      <c r="C12" s="6">
        <f t="shared" si="0"/>
        <v>25.066666666666666</v>
      </c>
      <c r="D12">
        <v>15</v>
      </c>
      <c r="E12">
        <v>376</v>
      </c>
    </row>
    <row r="13" spans="1:5" x14ac:dyDescent="0.25">
      <c r="A13" t="s">
        <v>16</v>
      </c>
      <c r="B13">
        <v>1359</v>
      </c>
      <c r="C13" s="6">
        <f t="shared" si="0"/>
        <v>18.8</v>
      </c>
      <c r="D13">
        <v>15</v>
      </c>
      <c r="E13">
        <v>282</v>
      </c>
    </row>
    <row r="14" spans="1:5" x14ac:dyDescent="0.25">
      <c r="A14" t="s">
        <v>1</v>
      </c>
      <c r="B14">
        <v>1593</v>
      </c>
      <c r="C14" s="6">
        <f t="shared" si="0"/>
        <v>35.666666666666664</v>
      </c>
      <c r="D14">
        <v>15</v>
      </c>
      <c r="E14">
        <v>535</v>
      </c>
    </row>
    <row r="15" spans="1:5" x14ac:dyDescent="0.25">
      <c r="A15" t="s">
        <v>11</v>
      </c>
      <c r="B15">
        <v>1457</v>
      </c>
      <c r="C15" s="6">
        <f t="shared" si="0"/>
        <v>24.333333333333332</v>
      </c>
      <c r="D15">
        <v>15</v>
      </c>
      <c r="E15">
        <v>365</v>
      </c>
    </row>
    <row r="16" spans="1:5" x14ac:dyDescent="0.25">
      <c r="A16" t="s">
        <v>12</v>
      </c>
      <c r="B16">
        <v>1418</v>
      </c>
      <c r="C16" s="6">
        <f t="shared" si="0"/>
        <v>19.333333333333332</v>
      </c>
      <c r="D16">
        <v>15</v>
      </c>
      <c r="E16">
        <v>290</v>
      </c>
    </row>
    <row r="17" spans="1:5" x14ac:dyDescent="0.25">
      <c r="A17" t="s">
        <v>5</v>
      </c>
      <c r="B17">
        <v>1550</v>
      </c>
      <c r="C17" s="6">
        <f t="shared" si="0"/>
        <v>24</v>
      </c>
      <c r="D17">
        <v>15</v>
      </c>
      <c r="E17">
        <v>360</v>
      </c>
    </row>
    <row r="18" spans="1:5" x14ac:dyDescent="0.25">
      <c r="A18" t="s">
        <v>9</v>
      </c>
      <c r="B18">
        <v>1542</v>
      </c>
      <c r="C18" s="6">
        <f t="shared" si="0"/>
        <v>29.333333333333332</v>
      </c>
      <c r="D18">
        <v>15</v>
      </c>
      <c r="E18">
        <v>440</v>
      </c>
    </row>
    <row r="19" spans="1:5" x14ac:dyDescent="0.25">
      <c r="A19" t="s">
        <v>17</v>
      </c>
      <c r="B19">
        <v>1345</v>
      </c>
      <c r="C19" s="6">
        <f t="shared" si="0"/>
        <v>19.533333333333335</v>
      </c>
      <c r="D19">
        <v>15</v>
      </c>
      <c r="E19">
        <v>293</v>
      </c>
    </row>
    <row r="20" spans="1:5" x14ac:dyDescent="0.25">
      <c r="A20" t="s">
        <v>8</v>
      </c>
      <c r="B20">
        <v>1544</v>
      </c>
      <c r="C20" s="6">
        <f t="shared" si="0"/>
        <v>27.533333333333335</v>
      </c>
      <c r="D20">
        <v>15</v>
      </c>
      <c r="E20">
        <v>413</v>
      </c>
    </row>
    <row r="22" spans="1:5" x14ac:dyDescent="0.25">
      <c r="A22" s="2" t="s">
        <v>49</v>
      </c>
      <c r="B22" s="2"/>
      <c r="C22" s="2"/>
    </row>
    <row r="23" spans="1:5" x14ac:dyDescent="0.25">
      <c r="A23" t="s">
        <v>7</v>
      </c>
      <c r="C23" s="6">
        <f>E23/D23</f>
        <v>0</v>
      </c>
      <c r="D23">
        <v>16</v>
      </c>
    </row>
    <row r="24" spans="1:5" x14ac:dyDescent="0.25">
      <c r="A24" t="s">
        <v>6</v>
      </c>
      <c r="C24" s="6">
        <f t="shared" ref="C24:C40" si="1">E24/D24</f>
        <v>0</v>
      </c>
      <c r="D24">
        <v>16</v>
      </c>
    </row>
    <row r="25" spans="1:5" x14ac:dyDescent="0.25">
      <c r="A25" t="s">
        <v>10</v>
      </c>
      <c r="C25" s="6">
        <f t="shared" si="1"/>
        <v>0</v>
      </c>
      <c r="D25">
        <v>16</v>
      </c>
    </row>
    <row r="26" spans="1:5" x14ac:dyDescent="0.25">
      <c r="A26" t="s">
        <v>15</v>
      </c>
      <c r="C26" s="6">
        <f t="shared" si="1"/>
        <v>0</v>
      </c>
      <c r="D26">
        <v>16</v>
      </c>
    </row>
    <row r="27" spans="1:5" x14ac:dyDescent="0.25">
      <c r="A27" t="s">
        <v>2</v>
      </c>
      <c r="C27" s="6">
        <f t="shared" si="1"/>
        <v>0</v>
      </c>
      <c r="D27">
        <v>16</v>
      </c>
    </row>
    <row r="28" spans="1:5" x14ac:dyDescent="0.25">
      <c r="A28" t="s">
        <v>3</v>
      </c>
      <c r="C28" s="6">
        <f t="shared" si="1"/>
        <v>0</v>
      </c>
      <c r="D28">
        <v>16</v>
      </c>
    </row>
    <row r="29" spans="1:5" x14ac:dyDescent="0.25">
      <c r="A29" t="s">
        <v>14</v>
      </c>
      <c r="C29" s="6">
        <f t="shared" si="1"/>
        <v>0</v>
      </c>
      <c r="D29">
        <v>16</v>
      </c>
    </row>
    <row r="30" spans="1:5" x14ac:dyDescent="0.25">
      <c r="A30" t="s">
        <v>0</v>
      </c>
      <c r="C30" s="6">
        <f t="shared" si="1"/>
        <v>0</v>
      </c>
      <c r="D30">
        <v>16</v>
      </c>
    </row>
    <row r="31" spans="1:5" x14ac:dyDescent="0.25">
      <c r="A31" t="s">
        <v>4</v>
      </c>
      <c r="C31" s="6">
        <f t="shared" si="1"/>
        <v>0</v>
      </c>
      <c r="D31">
        <v>16</v>
      </c>
    </row>
    <row r="32" spans="1:5" x14ac:dyDescent="0.25">
      <c r="A32" t="s">
        <v>13</v>
      </c>
      <c r="C32" s="6">
        <f t="shared" si="1"/>
        <v>0</v>
      </c>
      <c r="D32">
        <v>16</v>
      </c>
    </row>
    <row r="33" spans="1:4" x14ac:dyDescent="0.25">
      <c r="A33" t="s">
        <v>16</v>
      </c>
      <c r="C33" s="6">
        <f t="shared" si="1"/>
        <v>0</v>
      </c>
      <c r="D33">
        <v>16</v>
      </c>
    </row>
    <row r="34" spans="1:4" x14ac:dyDescent="0.25">
      <c r="A34" t="s">
        <v>1</v>
      </c>
      <c r="C34" s="6">
        <f t="shared" si="1"/>
        <v>0</v>
      </c>
      <c r="D34">
        <v>16</v>
      </c>
    </row>
    <row r="35" spans="1:4" x14ac:dyDescent="0.25">
      <c r="A35" t="s">
        <v>11</v>
      </c>
      <c r="C35" s="6">
        <f t="shared" si="1"/>
        <v>0</v>
      </c>
      <c r="D35">
        <v>16</v>
      </c>
    </row>
    <row r="36" spans="1:4" x14ac:dyDescent="0.25">
      <c r="A36" t="s">
        <v>12</v>
      </c>
      <c r="C36" s="6">
        <f t="shared" si="1"/>
        <v>0</v>
      </c>
      <c r="D36">
        <v>16</v>
      </c>
    </row>
    <row r="37" spans="1:4" x14ac:dyDescent="0.25">
      <c r="A37" t="s">
        <v>5</v>
      </c>
      <c r="C37" s="6">
        <f t="shared" si="1"/>
        <v>0</v>
      </c>
      <c r="D37">
        <v>16</v>
      </c>
    </row>
    <row r="38" spans="1:4" x14ac:dyDescent="0.25">
      <c r="A38" t="s">
        <v>9</v>
      </c>
      <c r="C38" s="6">
        <f t="shared" si="1"/>
        <v>0</v>
      </c>
      <c r="D38">
        <v>16</v>
      </c>
    </row>
    <row r="39" spans="1:4" x14ac:dyDescent="0.25">
      <c r="A39" t="s">
        <v>17</v>
      </c>
      <c r="C39" s="6">
        <f t="shared" si="1"/>
        <v>0</v>
      </c>
      <c r="D39">
        <v>16</v>
      </c>
    </row>
    <row r="40" spans="1:4" x14ac:dyDescent="0.25">
      <c r="A40" t="s">
        <v>8</v>
      </c>
      <c r="C40" s="6">
        <f t="shared" si="1"/>
        <v>0</v>
      </c>
      <c r="D40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C1" workbookViewId="0">
      <selection activeCell="H2" sqref="H2:I10"/>
    </sheetView>
  </sheetViews>
  <sheetFormatPr defaultRowHeight="15" x14ac:dyDescent="0.25"/>
  <cols>
    <col min="2" max="2" width="11.5703125" bestFit="1" customWidth="1"/>
    <col min="3" max="3" width="10.42578125" bestFit="1" customWidth="1"/>
    <col min="4" max="4" width="9.85546875" bestFit="1" customWidth="1"/>
    <col min="5" max="5" width="9.42578125" bestFit="1" customWidth="1"/>
    <col min="6" max="7" width="9.85546875" customWidth="1"/>
    <col min="8" max="8" width="7.28515625" customWidth="1"/>
    <col min="9" max="9" width="8.28515625" customWidth="1"/>
    <col min="17" max="18" width="10" customWidth="1"/>
  </cols>
  <sheetData>
    <row r="1" spans="1:19" s="3" customFormat="1" ht="60" x14ac:dyDescent="0.25">
      <c r="B1" s="4" t="s">
        <v>32</v>
      </c>
      <c r="C1" s="4" t="s">
        <v>33</v>
      </c>
      <c r="D1" s="4" t="s">
        <v>40</v>
      </c>
      <c r="E1" s="4" t="s">
        <v>39</v>
      </c>
      <c r="F1" s="4" t="s">
        <v>53</v>
      </c>
      <c r="G1" s="4" t="s">
        <v>55</v>
      </c>
      <c r="H1" s="4" t="s">
        <v>35</v>
      </c>
      <c r="I1" s="4" t="s">
        <v>36</v>
      </c>
      <c r="J1" s="4" t="s">
        <v>45</v>
      </c>
      <c r="K1" s="4" t="s">
        <v>37</v>
      </c>
      <c r="L1" s="4" t="s">
        <v>38</v>
      </c>
      <c r="M1" s="4" t="s">
        <v>42</v>
      </c>
      <c r="N1" s="4" t="s">
        <v>43</v>
      </c>
      <c r="P1" s="4" t="s">
        <v>50</v>
      </c>
      <c r="Q1" s="4" t="s">
        <v>54</v>
      </c>
      <c r="R1" s="4" t="s">
        <v>56</v>
      </c>
      <c r="S1" s="4" t="s">
        <v>51</v>
      </c>
    </row>
    <row r="2" spans="1:19" x14ac:dyDescent="0.25">
      <c r="A2" s="2" t="s">
        <v>34</v>
      </c>
      <c r="B2" t="s">
        <v>11</v>
      </c>
      <c r="C2" t="s">
        <v>7</v>
      </c>
      <c r="D2" s="5">
        <f>1/(1 + POWER(10, (VLOOKUP(C2,'running totals'!$A$3:$C$20,2) - VLOOKUP(B2,'running totals'!$A$3:$C$20,2))/400))</f>
        <v>0.41589904118632204</v>
      </c>
      <c r="E2" s="5">
        <f>1/(1 + POWER(10, (VLOOKUP(B2,'running totals'!$A$3:$C$20,2) - VLOOKUP(C2,'running totals'!$A$3:$C$20,2))/400))</f>
        <v>0.58410095881367796</v>
      </c>
      <c r="F2" s="5">
        <f>VLOOKUP($B2,'running totals'!$A$3:$C$20,3)*$D2 - VLOOKUP($C2,'running totals'!$A$3:$C$20,3)*$E2</f>
        <v>-4.4433739042205342</v>
      </c>
      <c r="G2" s="5">
        <f>(VLOOKUP($B2,'running totals'!$A$3:$C$20,3)+VLOOKUP($C2,'running totals'!$A$3:$C$20,3))*$D2 - (VLOOKUP($B2,'running totals'!$A$3:$C$20,3)+VLOOKUP($C2,'running totals'!$A$3:$C$20,3))*$E2</f>
        <v>-8.2867478084410706</v>
      </c>
      <c r="J2">
        <f>H2-I2</f>
        <v>0</v>
      </c>
      <c r="K2" s="5" t="e">
        <f>H2/($H$2+$I$2)</f>
        <v>#DIV/0!</v>
      </c>
      <c r="L2" s="5" t="e">
        <f>I2/($H$2+$I$2)</f>
        <v>#DIV/0!</v>
      </c>
      <c r="M2" s="7" t="e">
        <f>VLOOKUP(B2,'running totals'!$A$3:$C$20,2) + (const!$B$1 * (fixtures!K2-fixtures!D2))</f>
        <v>#DIV/0!</v>
      </c>
      <c r="N2" s="7" t="e">
        <f>VLOOKUP(C2,'running totals'!$A$3:$C$20,2) + (const!$B$1 * (fixtures!L2-fixtures!E2))</f>
        <v>#DIV/0!</v>
      </c>
      <c r="P2">
        <f>MAX(6,MROUND(ABS(F2),3)) * IF(F2&lt;0, -1, 1)</f>
        <v>-6</v>
      </c>
      <c r="Q2" s="8">
        <f>$J2-F2</f>
        <v>4.4433739042205342</v>
      </c>
      <c r="R2" s="8">
        <f>$J2-G2</f>
        <v>8.2867478084410706</v>
      </c>
      <c r="S2" s="8">
        <f>$J2-P2</f>
        <v>6</v>
      </c>
    </row>
    <row r="3" spans="1:19" x14ac:dyDescent="0.25">
      <c r="B3" t="s">
        <v>0</v>
      </c>
      <c r="C3" t="s">
        <v>2</v>
      </c>
      <c r="D3" s="5">
        <f>1/(1 + POWER(10, (VLOOKUP(C3,'running totals'!$A$3:$C$20,2) - VLOOKUP(B3,'running totals'!$A$3:$C$20,2))/400))</f>
        <v>0.51726252443237619</v>
      </c>
      <c r="E3" s="5">
        <f>1/(1 + POWER(10, (VLOOKUP(B3,'running totals'!$A$3:$C$20,2) - VLOOKUP(C3,'running totals'!$A$3:$C$20,2))/400))</f>
        <v>0.48273747556762381</v>
      </c>
      <c r="F3" s="5">
        <f>VLOOKUP(B3,'running totals'!$A$3:$C$20,3)*D3 - VLOOKUP(C3,'running totals'!$A$3:$C$20,3)*E3</f>
        <v>-1.2492876795493686</v>
      </c>
      <c r="G3" s="5">
        <f>(VLOOKUP($B3,'running totals'!$A$3:$C$20,3)+VLOOKUP($C3,'running totals'!$A$3:$C$20,3))*$D3 - (VLOOKUP($B3,'running totals'!$A$3:$C$20,3)+VLOOKUP($C3,'running totals'!$A$3:$C$20,3))*$E3</f>
        <v>2.1014246409012642</v>
      </c>
      <c r="J3">
        <f t="shared" ref="J3:J10" si="0">H3-I3</f>
        <v>0</v>
      </c>
      <c r="K3" s="5" t="e">
        <f t="shared" ref="K3:K10" si="1">H3/($H$2+$I$2)</f>
        <v>#DIV/0!</v>
      </c>
      <c r="L3" s="5" t="e">
        <f t="shared" ref="L3:L10" si="2">I3/($H$2+$I$2)</f>
        <v>#DIV/0!</v>
      </c>
      <c r="M3" s="7" t="e">
        <f>VLOOKUP(B3,'running totals'!$A$3:$C$20,2) + (const!$B$1 * (fixtures!K3-fixtures!D3))</f>
        <v>#DIV/0!</v>
      </c>
      <c r="N3" s="7" t="e">
        <f>VLOOKUP(C3,'running totals'!$A$3:$C$20,2) + (const!$B$1 * (fixtures!L3-fixtures!E3))</f>
        <v>#DIV/0!</v>
      </c>
      <c r="P3">
        <f t="shared" ref="P3:P10" si="3">MAX(6,MROUND(ABS(F3),3)) * IF(F3&lt;0, -1, 1)</f>
        <v>-6</v>
      </c>
      <c r="Q3" s="8">
        <f t="shared" ref="Q3:Q10" si="4">$J3-F3</f>
        <v>1.2492876795493686</v>
      </c>
      <c r="R3" s="8">
        <f t="shared" ref="R3:R10" si="5">$J3-G3</f>
        <v>-2.1014246409012642</v>
      </c>
      <c r="S3" s="8">
        <f t="shared" ref="S3:S10" si="6">$J3-P3</f>
        <v>6</v>
      </c>
    </row>
    <row r="4" spans="1:19" x14ac:dyDescent="0.25">
      <c r="B4" t="s">
        <v>12</v>
      </c>
      <c r="C4" t="s">
        <v>5</v>
      </c>
      <c r="D4" s="5">
        <f>1/(1 + POWER(10, (VLOOKUP(C4,'running totals'!$A$3:$C$20,2) - VLOOKUP(B4,'running totals'!$A$3:$C$20,2))/400))</f>
        <v>0.31867816483360628</v>
      </c>
      <c r="E4" s="5">
        <f>1/(1 + POWER(10, (VLOOKUP(B4,'running totals'!$A$3:$C$20,2) - VLOOKUP(C4,'running totals'!$A$3:$C$20,2))/400))</f>
        <v>0.68132183516639366</v>
      </c>
      <c r="F4" s="5">
        <f>VLOOKUP(B4,'running totals'!$A$3:$C$20,3)*D4 - VLOOKUP(C4,'running totals'!$A$3:$C$20,3)*E4</f>
        <v>-10.190612857210395</v>
      </c>
      <c r="G4" s="5">
        <f>(VLOOKUP($B4,'running totals'!$A$3:$C$20,3)+VLOOKUP($C4,'running totals'!$A$3:$C$20,3))*$D4 - (VLOOKUP($B4,'running totals'!$A$3:$C$20,3)+VLOOKUP($C4,'running totals'!$A$3:$C$20,3))*$E4</f>
        <v>-15.714559047754118</v>
      </c>
      <c r="J4">
        <f t="shared" si="0"/>
        <v>0</v>
      </c>
      <c r="K4" s="5" t="e">
        <f t="shared" si="1"/>
        <v>#DIV/0!</v>
      </c>
      <c r="L4" s="5" t="e">
        <f t="shared" si="2"/>
        <v>#DIV/0!</v>
      </c>
      <c r="M4" s="7" t="e">
        <f>VLOOKUP(B4,'running totals'!$A$3:$C$20,2) + (const!$B$1 * (fixtures!K4-fixtures!D4))</f>
        <v>#DIV/0!</v>
      </c>
      <c r="N4" s="7" t="e">
        <f>VLOOKUP(C4,'running totals'!$A$3:$C$20,2) + (const!$B$1 * (fixtures!L4-fixtures!E4))</f>
        <v>#DIV/0!</v>
      </c>
      <c r="P4">
        <f t="shared" si="3"/>
        <v>-9</v>
      </c>
      <c r="Q4" s="8">
        <f t="shared" si="4"/>
        <v>10.190612857210395</v>
      </c>
      <c r="R4" s="8">
        <f t="shared" si="5"/>
        <v>15.714559047754118</v>
      </c>
      <c r="S4" s="8">
        <f t="shared" si="6"/>
        <v>9</v>
      </c>
    </row>
    <row r="5" spans="1:19" x14ac:dyDescent="0.25">
      <c r="B5" t="s">
        <v>17</v>
      </c>
      <c r="C5" t="s">
        <v>4</v>
      </c>
      <c r="D5" s="5">
        <f>1/(1 + POWER(10, (VLOOKUP(C5,'running totals'!$A$3:$C$20,2) - VLOOKUP(B5,'running totals'!$A$3:$C$20,2))/400))</f>
        <v>0.21400339771784246</v>
      </c>
      <c r="E5" s="5">
        <f>1/(1 + POWER(10, (VLOOKUP(B5,'running totals'!$A$3:$C$20,2) - VLOOKUP(C5,'running totals'!$A$3:$C$20,2))/400))</f>
        <v>0.78599660228215751</v>
      </c>
      <c r="F5" s="5">
        <f>VLOOKUP(B5,'running totals'!$A$3:$C$20,3)*D5 - VLOOKUP(C5,'running totals'!$A$3:$C$20,3)*E5</f>
        <v>-19.818896554260022</v>
      </c>
      <c r="G5" s="5">
        <f>(VLOOKUP($B5,'running totals'!$A$3:$C$20,3)+VLOOKUP($C5,'running totals'!$A$3:$C$20,3))*$D5 - (VLOOKUP($B5,'running totals'!$A$3:$C$20,3)+VLOOKUP($C5,'running totals'!$A$3:$C$20,3))*$E5</f>
        <v>-28.637793108520039</v>
      </c>
      <c r="J5">
        <f t="shared" si="0"/>
        <v>0</v>
      </c>
      <c r="K5" s="5" t="e">
        <f t="shared" si="1"/>
        <v>#DIV/0!</v>
      </c>
      <c r="L5" s="5" t="e">
        <f t="shared" si="2"/>
        <v>#DIV/0!</v>
      </c>
      <c r="M5" s="7" t="e">
        <f>VLOOKUP(B5,'running totals'!$A$3:$C$20,2) + (const!$B$1 * (fixtures!K5-fixtures!D5))</f>
        <v>#DIV/0!</v>
      </c>
      <c r="N5" s="7" t="e">
        <f>VLOOKUP(C5,'running totals'!$A$3:$C$20,2) + (const!$B$1 * (fixtures!L5-fixtures!E5))</f>
        <v>#DIV/0!</v>
      </c>
      <c r="P5">
        <f t="shared" si="3"/>
        <v>-21</v>
      </c>
      <c r="Q5" s="8">
        <f t="shared" si="4"/>
        <v>19.818896554260022</v>
      </c>
      <c r="R5" s="8">
        <f t="shared" si="5"/>
        <v>28.637793108520039</v>
      </c>
      <c r="S5" s="8">
        <f t="shared" si="6"/>
        <v>21</v>
      </c>
    </row>
    <row r="6" spans="1:19" x14ac:dyDescent="0.25">
      <c r="B6" t="s">
        <v>3</v>
      </c>
      <c r="C6" t="s">
        <v>6</v>
      </c>
      <c r="D6" s="5">
        <f>1/(1 + POWER(10, (VLOOKUP(C6,'running totals'!$A$3:$C$20,2) - VLOOKUP(B6,'running totals'!$A$3:$C$20,2))/400))</f>
        <v>0.57989976035788149</v>
      </c>
      <c r="E6" s="5">
        <f>1/(1 + POWER(10, (VLOOKUP(B6,'running totals'!$A$3:$C$20,2) - VLOOKUP(C6,'running totals'!$A$3:$C$20,2))/400))</f>
        <v>0.42010023964211857</v>
      </c>
      <c r="F6" s="5">
        <f>VLOOKUP(B6,'running totals'!$A$3:$C$20,3)*D6 - VLOOKUP(C6,'running totals'!$A$3:$C$20,3)*E6</f>
        <v>6.9245720964258606</v>
      </c>
      <c r="G6" s="5">
        <f>(VLOOKUP($B6,'running totals'!$A$3:$C$20,3)+VLOOKUP($C6,'running totals'!$A$3:$C$20,3))*$D6 - (VLOOKUP($B6,'running totals'!$A$3:$C$20,3)+VLOOKUP($C6,'running totals'!$A$3:$C$20,3))*$E6</f>
        <v>9.7158108595183847</v>
      </c>
      <c r="J6">
        <f t="shared" si="0"/>
        <v>0</v>
      </c>
      <c r="K6" s="5" t="e">
        <f t="shared" si="1"/>
        <v>#DIV/0!</v>
      </c>
      <c r="L6" s="5" t="e">
        <f t="shared" si="2"/>
        <v>#DIV/0!</v>
      </c>
      <c r="M6" s="7" t="e">
        <f>VLOOKUP(B6,'running totals'!$A$3:$C$20,2) + (const!$B$1 * (fixtures!K6-fixtures!D6))</f>
        <v>#DIV/0!</v>
      </c>
      <c r="N6" s="7" t="e">
        <f>VLOOKUP(C6,'running totals'!$A$3:$C$20,2) + (const!$B$1 * (fixtures!L6-fixtures!E6))</f>
        <v>#DIV/0!</v>
      </c>
      <c r="P6">
        <f t="shared" si="3"/>
        <v>6</v>
      </c>
      <c r="Q6" s="8">
        <f t="shared" si="4"/>
        <v>-6.9245720964258606</v>
      </c>
      <c r="R6" s="8">
        <f t="shared" si="5"/>
        <v>-9.7158108595183847</v>
      </c>
      <c r="S6" s="8">
        <f t="shared" si="6"/>
        <v>-6</v>
      </c>
    </row>
    <row r="7" spans="1:19" x14ac:dyDescent="0.25">
      <c r="B7" t="s">
        <v>8</v>
      </c>
      <c r="C7" t="s">
        <v>14</v>
      </c>
      <c r="D7" s="5">
        <f>1/(1 + POWER(10, (VLOOKUP(C7,'running totals'!$A$3:$C$20,2) - VLOOKUP(B7,'running totals'!$A$3:$C$20,2))/400))</f>
        <v>0.67377618788832216</v>
      </c>
      <c r="E7" s="5">
        <f>1/(1 + POWER(10, (VLOOKUP(B7,'running totals'!$A$3:$C$20,2) - VLOOKUP(C7,'running totals'!$A$3:$C$20,2))/400))</f>
        <v>0.32622381211167784</v>
      </c>
      <c r="F7" s="5">
        <f>VLOOKUP(B7,'running totals'!$A$3:$C$20,3)*D7 - VLOOKUP(C7,'running totals'!$A$3:$C$20,3)*E7</f>
        <v>12.89675829658939</v>
      </c>
      <c r="G7" s="5">
        <f>(VLOOKUP($B7,'running totals'!$A$3:$C$20,3)+VLOOKUP($C7,'running totals'!$A$3:$C$20,3))*$D7 - (VLOOKUP($B7,'running totals'!$A$3:$C$20,3)+VLOOKUP($C7,'running totals'!$A$3:$C$20,3))*$E7</f>
        <v>15.593516593178776</v>
      </c>
      <c r="J7">
        <f t="shared" si="0"/>
        <v>0</v>
      </c>
      <c r="K7" s="5" t="e">
        <f t="shared" si="1"/>
        <v>#DIV/0!</v>
      </c>
      <c r="L7" s="5" t="e">
        <f t="shared" si="2"/>
        <v>#DIV/0!</v>
      </c>
      <c r="M7" s="7" t="e">
        <f>VLOOKUP(B7,'running totals'!$A$3:$C$20,2) + (const!$B$1 * (fixtures!K7-fixtures!D7))</f>
        <v>#DIV/0!</v>
      </c>
      <c r="N7" s="7" t="e">
        <f>VLOOKUP(C7,'running totals'!$A$3:$C$20,2) + (const!$B$1 * (fixtures!L7-fixtures!E7))</f>
        <v>#DIV/0!</v>
      </c>
      <c r="P7">
        <f t="shared" si="3"/>
        <v>12</v>
      </c>
      <c r="Q7" s="8">
        <f t="shared" si="4"/>
        <v>-12.89675829658939</v>
      </c>
      <c r="R7" s="8">
        <f t="shared" si="5"/>
        <v>-15.593516593178776</v>
      </c>
      <c r="S7" s="8">
        <f t="shared" si="6"/>
        <v>-12</v>
      </c>
    </row>
    <row r="8" spans="1:19" x14ac:dyDescent="0.25">
      <c r="B8" t="s">
        <v>15</v>
      </c>
      <c r="C8" t="s">
        <v>1</v>
      </c>
      <c r="D8" s="5">
        <f>1/(1 + POWER(10, (VLOOKUP(C8,'running totals'!$A$3:$C$20,2) - VLOOKUP(B8,'running totals'!$A$3:$C$20,2))/400))</f>
        <v>0.27431435372821295</v>
      </c>
      <c r="E8" s="5">
        <f>1/(1 + POWER(10, (VLOOKUP(B8,'running totals'!$A$3:$C$20,2) - VLOOKUP(C8,'running totals'!$A$3:$C$20,2))/400))</f>
        <v>0.72568564627178711</v>
      </c>
      <c r="F8" s="5">
        <f>VLOOKUP(B8,'running totals'!$A$3:$C$20,3)*D8 - VLOOKUP(C8,'running totals'!$A$3:$C$20,3)*E8</f>
        <v>-18.988353959991318</v>
      </c>
      <c r="G8" s="5">
        <f>(VLOOKUP($B8,'running totals'!$A$3:$C$20,3)+VLOOKUP($C8,'running totals'!$A$3:$C$20,3))*$D8 - (VLOOKUP($B8,'running totals'!$A$3:$C$20,3)+VLOOKUP($C8,'running totals'!$A$3:$C$20,3))*$E8</f>
        <v>-27.443374586649309</v>
      </c>
      <c r="J8">
        <f t="shared" si="0"/>
        <v>0</v>
      </c>
      <c r="K8" s="5" t="e">
        <f t="shared" si="1"/>
        <v>#DIV/0!</v>
      </c>
      <c r="L8" s="5" t="e">
        <f t="shared" si="2"/>
        <v>#DIV/0!</v>
      </c>
      <c r="M8" s="7" t="e">
        <f>VLOOKUP(B8,'running totals'!$A$3:$C$20,2) + (const!$B$1 * (fixtures!K8-fixtures!D8))</f>
        <v>#DIV/0!</v>
      </c>
      <c r="N8" s="7" t="e">
        <f>VLOOKUP(C8,'running totals'!$A$3:$C$20,2) + (const!$B$1 * (fixtures!L8-fixtures!E8))</f>
        <v>#DIV/0!</v>
      </c>
      <c r="P8">
        <f t="shared" si="3"/>
        <v>-18</v>
      </c>
      <c r="Q8" s="8">
        <f t="shared" si="4"/>
        <v>18.988353959991318</v>
      </c>
      <c r="R8" s="8">
        <f t="shared" si="5"/>
        <v>27.443374586649309</v>
      </c>
      <c r="S8" s="8">
        <f t="shared" si="6"/>
        <v>18</v>
      </c>
    </row>
    <row r="9" spans="1:19" x14ac:dyDescent="0.25">
      <c r="B9" t="s">
        <v>16</v>
      </c>
      <c r="C9" t="s">
        <v>13</v>
      </c>
      <c r="D9" s="5">
        <f>1/(1 + POWER(10, (VLOOKUP(C9,'running totals'!$A$3:$C$20,2) - VLOOKUP(B9,'running totals'!$A$3:$C$20,2))/400))</f>
        <v>0.35728693116737958</v>
      </c>
      <c r="E9" s="5">
        <f>1/(1 + POWER(10, (VLOOKUP(B9,'running totals'!$A$3:$C$20,2) - VLOOKUP(C9,'running totals'!$A$3:$C$20,2))/400))</f>
        <v>0.64271306883262036</v>
      </c>
      <c r="F9" s="5">
        <f>VLOOKUP(B9,'running totals'!$A$3:$C$20,3)*D9 - VLOOKUP(C9,'running totals'!$A$3:$C$20,3)*E9</f>
        <v>-9.3936799527909489</v>
      </c>
      <c r="G9" s="5">
        <f>(VLOOKUP($B9,'running totals'!$A$3:$C$20,3)+VLOOKUP($C9,'running totals'!$A$3:$C$20,3))*$D9 - (VLOOKUP($B9,'running totals'!$A$3:$C$20,3)+VLOOKUP($C9,'running totals'!$A$3:$C$20,3))*$E9</f>
        <v>-12.52069323891523</v>
      </c>
      <c r="J9">
        <f t="shared" si="0"/>
        <v>0</v>
      </c>
      <c r="K9" s="5" t="e">
        <f t="shared" si="1"/>
        <v>#DIV/0!</v>
      </c>
      <c r="L9" s="5" t="e">
        <f t="shared" si="2"/>
        <v>#DIV/0!</v>
      </c>
      <c r="M9" s="7" t="e">
        <f>VLOOKUP(B9,'running totals'!$A$3:$C$20,2) + (const!$B$1 * (fixtures!K9-fixtures!D9))</f>
        <v>#DIV/0!</v>
      </c>
      <c r="N9" s="7" t="e">
        <f>VLOOKUP(C9,'running totals'!$A$3:$C$20,2) + (const!$B$1 * (fixtures!L9-fixtures!E9))</f>
        <v>#DIV/0!</v>
      </c>
      <c r="P9">
        <f t="shared" si="3"/>
        <v>-9</v>
      </c>
      <c r="Q9" s="8">
        <f t="shared" si="4"/>
        <v>9.3936799527909489</v>
      </c>
      <c r="R9" s="8">
        <f t="shared" si="5"/>
        <v>12.52069323891523</v>
      </c>
      <c r="S9" s="8">
        <f t="shared" si="6"/>
        <v>9</v>
      </c>
    </row>
    <row r="10" spans="1:19" x14ac:dyDescent="0.25">
      <c r="B10" t="s">
        <v>9</v>
      </c>
      <c r="C10" t="s">
        <v>10</v>
      </c>
      <c r="D10" s="5">
        <f>1/(1 + POWER(10, (VLOOKUP(C10,'running totals'!$A$3:$C$20,2) - VLOOKUP(B10,'running totals'!$A$3:$C$20,2))/400))</f>
        <v>0.59939679670925683</v>
      </c>
      <c r="E10" s="5">
        <f>1/(1 + POWER(10, (VLOOKUP(B10,'running totals'!$A$3:$C$20,2) - VLOOKUP(C10,'running totals'!$A$3:$C$20,2))/400))</f>
        <v>0.40060320329074317</v>
      </c>
      <c r="F10" s="5">
        <f>VLOOKUP(B10,'running totals'!$A$3:$C$20,3)*D10 - VLOOKUP(C10,'running totals'!$A$3:$C$20,3)*E10</f>
        <v>6.9262608292710972</v>
      </c>
      <c r="G10" s="5">
        <f>(VLOOKUP($B10,'running totals'!$A$3:$C$20,3)+VLOOKUP($C10,'running totals'!$A$3:$C$20,3))*$D10 - (VLOOKUP($B10,'running totals'!$A$3:$C$20,3)+VLOOKUP($C10,'running totals'!$A$3:$C$20,3))*$E10</f>
        <v>11.119188325208867</v>
      </c>
      <c r="J10">
        <f t="shared" si="0"/>
        <v>0</v>
      </c>
      <c r="K10" s="5" t="e">
        <f t="shared" si="1"/>
        <v>#DIV/0!</v>
      </c>
      <c r="L10" s="5" t="e">
        <f t="shared" si="2"/>
        <v>#DIV/0!</v>
      </c>
      <c r="M10" s="7" t="e">
        <f>VLOOKUP(B10,'running totals'!$A$3:$C$20,2) + (const!$B$1 * (fixtures!K10-fixtures!D10))</f>
        <v>#DIV/0!</v>
      </c>
      <c r="N10" s="7" t="e">
        <f>VLOOKUP(C10,'running totals'!$A$3:$C$20,2) + (const!$B$1 * (fixtures!L10-fixtures!E10))</f>
        <v>#DIV/0!</v>
      </c>
      <c r="P10">
        <f t="shared" si="3"/>
        <v>6</v>
      </c>
      <c r="Q10" s="8">
        <f t="shared" si="4"/>
        <v>-6.9262608292710972</v>
      </c>
      <c r="R10" s="8">
        <f t="shared" si="5"/>
        <v>-11.119188325208867</v>
      </c>
      <c r="S10" s="8">
        <f t="shared" si="6"/>
        <v>-6</v>
      </c>
    </row>
    <row r="11" spans="1:19" x14ac:dyDescent="0.25">
      <c r="D11" s="5"/>
      <c r="E11" s="5"/>
      <c r="P11" s="10" t="s">
        <v>52</v>
      </c>
      <c r="Q11" s="9">
        <f>SUMSQ(Q2:Q10)/COUNT(Q2:Q10)</f>
        <v>136.55439043474559</v>
      </c>
      <c r="R11" s="9">
        <f>SUMSQ(R2:R10)/COUNT(R2:R10)</f>
        <v>279.02826580568262</v>
      </c>
      <c r="S11" s="9">
        <f>SUMSQ(S2:S10)/COUNT(S2:S10)</f>
        <v>135</v>
      </c>
    </row>
    <row r="14" spans="1:19" x14ac:dyDescent="0.25">
      <c r="I14" t="s">
        <v>44</v>
      </c>
    </row>
    <row r="15" spans="1:19" x14ac:dyDescent="0.25">
      <c r="I15" t="s">
        <v>44</v>
      </c>
    </row>
    <row r="16" spans="1:19" x14ac:dyDescent="0.25">
      <c r="I16" t="s">
        <v>44</v>
      </c>
    </row>
    <row r="17" spans="9:9" x14ac:dyDescent="0.25">
      <c r="I17" t="s">
        <v>44</v>
      </c>
    </row>
    <row r="18" spans="9:9" x14ac:dyDescent="0.25">
      <c r="I18" t="s">
        <v>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15.28515625" customWidth="1"/>
  </cols>
  <sheetData>
    <row r="1" spans="1:2" x14ac:dyDescent="0.25">
      <c r="A1" s="2" t="s">
        <v>41</v>
      </c>
      <c r="B1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data</vt:lpstr>
      <vt:lpstr>running totals</vt:lpstr>
      <vt:lpstr>fixtures</vt:lpstr>
      <vt:lpstr>const</vt:lpstr>
    </vt:vector>
  </TitlesOfParts>
  <Company>Home 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McLachlan</dc:creator>
  <cp:lastModifiedBy>Alan McLachlan</cp:lastModifiedBy>
  <dcterms:created xsi:type="dcterms:W3CDTF">2017-02-21T14:31:09Z</dcterms:created>
  <dcterms:modified xsi:type="dcterms:W3CDTF">2017-02-22T06:29:17Z</dcterms:modified>
</cp:coreProperties>
</file>