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3080" windowHeight="9420" tabRatio="601" activeTab="1"/>
  </bookViews>
  <sheets>
    <sheet name="DDS" sheetId="5" r:id="rId1"/>
    <sheet name="Base de Datos" sheetId="2" r:id="rId2"/>
    <sheet name="Targets Benchmark" sheetId="4" r:id="rId3"/>
    <sheet name="Frick y Freezer" sheetId="3" r:id="rId4"/>
    <sheet name="Dashboard" sheetId="1" r:id="rId5"/>
  </sheets>
  <externalReferences>
    <externalReference r:id="rId6"/>
    <externalReference r:id="rId7"/>
  </externalReferences>
  <definedNames>
    <definedName name="DATA">'[1]MODULOS CANADA - NORTE'!$A$1:$MH$42</definedName>
    <definedName name="HRS">#REF!</definedName>
    <definedName name="KWH">'[2]SD 21'!$B:$B</definedName>
    <definedName name="MCE">#REF!</definedName>
    <definedName name="SurFab">#REF!</definedName>
    <definedName name="Z_8A4211AF_7A0F_4FEE_B49C_04A5DFD87914_.wvu.Cols" localSheetId="4" hidden="1">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,Dashboard!#REF!</definedName>
    <definedName name="Z_8A4211AF_7A0F_4FEE_B49C_04A5DFD87914_.wvu.Rows" localSheetId="4" hidden="1">Dashboard!#REF!,Dashboard!$77:$77,Dashboard!#REF!,Dashboard!#REF!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V127" i="2" l="1"/>
  <c r="EU127" i="2"/>
  <c r="ET127" i="2"/>
  <c r="ES127" i="2"/>
  <c r="ER127" i="2"/>
  <c r="EQ127" i="2"/>
  <c r="EP127" i="2"/>
  <c r="EV126" i="2"/>
  <c r="EU126" i="2"/>
  <c r="ET126" i="2"/>
  <c r="ES126" i="2"/>
  <c r="ER126" i="2"/>
  <c r="EQ126" i="2"/>
  <c r="EP126" i="2"/>
  <c r="ER123" i="2"/>
  <c r="EV117" i="2"/>
  <c r="EU117" i="2"/>
  <c r="ET117" i="2"/>
  <c r="ES117" i="2"/>
  <c r="ER117" i="2"/>
  <c r="ER132" i="2" s="1"/>
  <c r="EQ117" i="2"/>
  <c r="EP117" i="2"/>
  <c r="EV116" i="2"/>
  <c r="EU116" i="2"/>
  <c r="ET116" i="2"/>
  <c r="ES116" i="2"/>
  <c r="ER116" i="2"/>
  <c r="ER131" i="2" s="1"/>
  <c r="EQ116" i="2"/>
  <c r="EP116" i="2"/>
  <c r="EV115" i="2"/>
  <c r="EU115" i="2"/>
  <c r="ET115" i="2"/>
  <c r="ES115" i="2"/>
  <c r="ER115" i="2"/>
  <c r="ER130" i="2" s="1"/>
  <c r="EQ115" i="2"/>
  <c r="EP115" i="2"/>
  <c r="EV114" i="2"/>
  <c r="EU114" i="2"/>
  <c r="ET114" i="2"/>
  <c r="ES114" i="2"/>
  <c r="ER114" i="2"/>
  <c r="ER129" i="2" s="1"/>
  <c r="EQ114" i="2"/>
  <c r="EP114" i="2"/>
  <c r="EV113" i="2"/>
  <c r="EU113" i="2"/>
  <c r="ET113" i="2"/>
  <c r="ES113" i="2"/>
  <c r="ER113" i="2"/>
  <c r="ER128" i="2" s="1"/>
  <c r="EQ113" i="2"/>
  <c r="EP113" i="2"/>
  <c r="EV112" i="2"/>
  <c r="EU112" i="2"/>
  <c r="ET112" i="2"/>
  <c r="ES112" i="2"/>
  <c r="ER112" i="2"/>
  <c r="EQ112" i="2"/>
  <c r="EP112" i="2"/>
  <c r="EV110" i="2"/>
  <c r="EU110" i="2"/>
  <c r="ET110" i="2"/>
  <c r="ES110" i="2"/>
  <c r="ER110" i="2"/>
  <c r="ER125" i="2" s="1"/>
  <c r="EQ110" i="2"/>
  <c r="EP110" i="2"/>
  <c r="EV109" i="2"/>
  <c r="EU109" i="2"/>
  <c r="ET109" i="2"/>
  <c r="ES109" i="2"/>
  <c r="ER109" i="2"/>
  <c r="ER124" i="2" s="1"/>
  <c r="EQ109" i="2"/>
  <c r="EP109" i="2"/>
  <c r="EV107" i="2"/>
  <c r="EU107" i="2"/>
  <c r="ET107" i="2"/>
  <c r="ES107" i="2"/>
  <c r="ER107" i="2"/>
  <c r="ER122" i="2" s="1"/>
  <c r="EQ107" i="2"/>
  <c r="EP107" i="2"/>
  <c r="EV106" i="2"/>
  <c r="EU106" i="2"/>
  <c r="ET106" i="2"/>
  <c r="ES106" i="2"/>
  <c r="ER106" i="2"/>
  <c r="ER121" i="2" s="1"/>
  <c r="EQ106" i="2"/>
  <c r="EP106" i="2"/>
  <c r="EV105" i="2"/>
  <c r="EU105" i="2"/>
  <c r="ET105" i="2"/>
  <c r="ES105" i="2"/>
  <c r="ER105" i="2"/>
  <c r="ER120" i="2" s="1"/>
  <c r="EQ105" i="2"/>
  <c r="EP105" i="2"/>
  <c r="EV104" i="2"/>
  <c r="EU104" i="2"/>
  <c r="ET104" i="2"/>
  <c r="ES104" i="2"/>
  <c r="ER104" i="2"/>
  <c r="ER119" i="2" s="1"/>
  <c r="EQ104" i="2"/>
  <c r="EP104" i="2"/>
  <c r="EV96" i="2"/>
  <c r="EU96" i="2"/>
  <c r="ET96" i="2"/>
  <c r="ES96" i="2"/>
  <c r="ER96" i="2"/>
  <c r="ER101" i="2" s="1"/>
  <c r="EQ96" i="2"/>
  <c r="EP96" i="2"/>
  <c r="EV95" i="2"/>
  <c r="EU95" i="2"/>
  <c r="ET95" i="2"/>
  <c r="ES95" i="2"/>
  <c r="ER95" i="2"/>
  <c r="ER100" i="2" s="1"/>
  <c r="EQ95" i="2"/>
  <c r="EP95" i="2"/>
  <c r="EV94" i="2"/>
  <c r="EU94" i="2"/>
  <c r="ET94" i="2"/>
  <c r="ES94" i="2"/>
  <c r="ER94" i="2"/>
  <c r="EQ94" i="2"/>
  <c r="EP94" i="2"/>
  <c r="EV93" i="2"/>
  <c r="EU93" i="2"/>
  <c r="ET93" i="2"/>
  <c r="ES93" i="2"/>
  <c r="ER93" i="2"/>
  <c r="EQ93" i="2"/>
  <c r="EP93" i="2"/>
  <c r="EV92" i="2"/>
  <c r="EU92" i="2"/>
  <c r="ET92" i="2"/>
  <c r="ES92" i="2"/>
  <c r="ER92" i="2"/>
  <c r="EQ92" i="2"/>
  <c r="EP92" i="2"/>
  <c r="EV91" i="2"/>
  <c r="EU91" i="2"/>
  <c r="ET91" i="2"/>
  <c r="ES91" i="2"/>
  <c r="ER91" i="2"/>
  <c r="EQ91" i="2"/>
  <c r="EP91" i="2"/>
  <c r="EV89" i="2"/>
  <c r="EV132" i="2" s="1"/>
  <c r="EU89" i="2"/>
  <c r="EU131" i="2" s="1"/>
  <c r="ET89" i="2"/>
  <c r="ET130" i="2" s="1"/>
  <c r="ES89" i="2"/>
  <c r="ES129" i="2" s="1"/>
  <c r="EQ89" i="2"/>
  <c r="EQ131" i="2" s="1"/>
  <c r="EP89" i="2"/>
  <c r="EP130" i="2" s="1"/>
  <c r="EP88" i="2"/>
  <c r="EP87" i="2"/>
  <c r="EW86" i="2"/>
  <c r="ET85" i="2"/>
  <c r="ES85" i="2"/>
  <c r="ER85" i="2"/>
  <c r="EQ85" i="2"/>
  <c r="EP85" i="2"/>
  <c r="EW84" i="2"/>
  <c r="EW83" i="2"/>
  <c r="EW82" i="2"/>
  <c r="EW80" i="2"/>
  <c r="EW79" i="2"/>
  <c r="EW78" i="2"/>
  <c r="EW77" i="2"/>
  <c r="EW76" i="2"/>
  <c r="EW75" i="2"/>
  <c r="EW73" i="2"/>
  <c r="EW72" i="2"/>
  <c r="EW71" i="2"/>
  <c r="EV69" i="2"/>
  <c r="EV111" i="2" s="1"/>
  <c r="EU69" i="2"/>
  <c r="EU111" i="2" s="1"/>
  <c r="ET69" i="2"/>
  <c r="ET111" i="2" s="1"/>
  <c r="ES69" i="2"/>
  <c r="ES111" i="2" s="1"/>
  <c r="ER69" i="2"/>
  <c r="ER111" i="2" s="1"/>
  <c r="EQ69" i="2"/>
  <c r="EQ111" i="2" s="1"/>
  <c r="EP69" i="2"/>
  <c r="EP111" i="2" s="1"/>
  <c r="EW68" i="2"/>
  <c r="EW67" i="2"/>
  <c r="EW66" i="2"/>
  <c r="EW65" i="2"/>
  <c r="EV63" i="2"/>
  <c r="EU63" i="2"/>
  <c r="ET63" i="2"/>
  <c r="ES63" i="2"/>
  <c r="ER63" i="2"/>
  <c r="EQ63" i="2"/>
  <c r="EP63" i="2"/>
  <c r="EV62" i="2"/>
  <c r="EU62" i="2"/>
  <c r="ET62" i="2"/>
  <c r="ES62" i="2"/>
  <c r="ER62" i="2"/>
  <c r="EQ62" i="2"/>
  <c r="EP62" i="2"/>
  <c r="EW61" i="2"/>
  <c r="EW60" i="2"/>
  <c r="EW59" i="2"/>
  <c r="EW58" i="2"/>
  <c r="EV56" i="2"/>
  <c r="EU56" i="2"/>
  <c r="ET56" i="2"/>
  <c r="ES56" i="2"/>
  <c r="ER56" i="2"/>
  <c r="EQ56" i="2"/>
  <c r="EP56" i="2"/>
  <c r="EV55" i="2"/>
  <c r="EU55" i="2"/>
  <c r="ET55" i="2"/>
  <c r="ES55" i="2"/>
  <c r="ER55" i="2"/>
  <c r="EQ55" i="2"/>
  <c r="EP55" i="2"/>
  <c r="EV54" i="2"/>
  <c r="EU54" i="2"/>
  <c r="ET54" i="2"/>
  <c r="ES54" i="2"/>
  <c r="ER54" i="2"/>
  <c r="EQ54" i="2"/>
  <c r="EP54" i="2"/>
  <c r="EV53" i="2"/>
  <c r="EU53" i="2"/>
  <c r="ET53" i="2"/>
  <c r="ES53" i="2"/>
  <c r="ER53" i="2"/>
  <c r="EQ53" i="2"/>
  <c r="EP53" i="2"/>
  <c r="EV52" i="2"/>
  <c r="EU52" i="2"/>
  <c r="ET52" i="2"/>
  <c r="ES52" i="2"/>
  <c r="ER52" i="2"/>
  <c r="EQ52" i="2"/>
  <c r="EP52" i="2"/>
  <c r="EV51" i="2"/>
  <c r="EU51" i="2"/>
  <c r="ET51" i="2"/>
  <c r="ES51" i="2"/>
  <c r="ER51" i="2"/>
  <c r="EQ51" i="2"/>
  <c r="EP51" i="2"/>
  <c r="EV50" i="2"/>
  <c r="EU50" i="2"/>
  <c r="ET50" i="2"/>
  <c r="ES50" i="2"/>
  <c r="ER50" i="2"/>
  <c r="EQ50" i="2"/>
  <c r="EP50" i="2"/>
  <c r="EV49" i="2"/>
  <c r="EU49" i="2"/>
  <c r="ET49" i="2"/>
  <c r="ES49" i="2"/>
  <c r="ER49" i="2"/>
  <c r="EQ49" i="2"/>
  <c r="EP49" i="2"/>
  <c r="EW46" i="2"/>
  <c r="EW45" i="2"/>
  <c r="EW44" i="2"/>
  <c r="EW43" i="2"/>
  <c r="EW42" i="2"/>
  <c r="EW41" i="2"/>
  <c r="EW40" i="2"/>
  <c r="EW39" i="2"/>
  <c r="EV37" i="2"/>
  <c r="EU37" i="2"/>
  <c r="ET37" i="2"/>
  <c r="ES37" i="2"/>
  <c r="ER37" i="2"/>
  <c r="EQ37" i="2"/>
  <c r="EP37" i="2"/>
  <c r="EV36" i="2"/>
  <c r="EU36" i="2"/>
  <c r="ET36" i="2"/>
  <c r="ES36" i="2"/>
  <c r="ER36" i="2"/>
  <c r="EQ36" i="2"/>
  <c r="EP36" i="2"/>
  <c r="EV35" i="2"/>
  <c r="EU35" i="2"/>
  <c r="ET35" i="2"/>
  <c r="ES35" i="2"/>
  <c r="ER35" i="2"/>
  <c r="EQ35" i="2"/>
  <c r="EP35" i="2"/>
  <c r="EV34" i="2"/>
  <c r="EU34" i="2"/>
  <c r="ET34" i="2"/>
  <c r="ES34" i="2"/>
  <c r="ER34" i="2"/>
  <c r="EQ34" i="2"/>
  <c r="EP34" i="2"/>
  <c r="EV33" i="2"/>
  <c r="EU33" i="2"/>
  <c r="ET33" i="2"/>
  <c r="ES33" i="2"/>
  <c r="ER33" i="2"/>
  <c r="EQ33" i="2"/>
  <c r="EP33" i="2"/>
  <c r="EV32" i="2"/>
  <c r="EU32" i="2"/>
  <c r="ET32" i="2"/>
  <c r="ES32" i="2"/>
  <c r="ER32" i="2"/>
  <c r="EQ32" i="2"/>
  <c r="EP32" i="2"/>
  <c r="EV31" i="2"/>
  <c r="EU31" i="2"/>
  <c r="ET31" i="2"/>
  <c r="ES31" i="2"/>
  <c r="ER31" i="2"/>
  <c r="EQ31" i="2"/>
  <c r="EP31" i="2"/>
  <c r="EV30" i="2"/>
  <c r="EU30" i="2"/>
  <c r="ET30" i="2"/>
  <c r="ES30" i="2"/>
  <c r="ER30" i="2"/>
  <c r="EQ30" i="2"/>
  <c r="EP30" i="2"/>
  <c r="EV29" i="2"/>
  <c r="EU29" i="2"/>
  <c r="ET29" i="2"/>
  <c r="ES29" i="2"/>
  <c r="ER29" i="2"/>
  <c r="EQ29" i="2"/>
  <c r="EP29" i="2"/>
  <c r="EV28" i="2"/>
  <c r="EU28" i="2"/>
  <c r="ET28" i="2"/>
  <c r="ES28" i="2"/>
  <c r="ER28" i="2"/>
  <c r="EQ28" i="2"/>
  <c r="EP28" i="2"/>
  <c r="EW27" i="2"/>
  <c r="EW26" i="2"/>
  <c r="EW25" i="2"/>
  <c r="EW24" i="2"/>
  <c r="EW23" i="2"/>
  <c r="EW22" i="2"/>
  <c r="EW21" i="2"/>
  <c r="ES19" i="2"/>
  <c r="EQ19" i="2"/>
  <c r="EP19" i="2"/>
  <c r="EV18" i="2"/>
  <c r="EV19" i="2" s="1"/>
  <c r="EU18" i="2"/>
  <c r="EU19" i="2" s="1"/>
  <c r="ET18" i="2"/>
  <c r="ET19" i="2" s="1"/>
  <c r="ES18" i="2"/>
  <c r="ER18" i="2"/>
  <c r="ER19" i="2" s="1"/>
  <c r="EQ18" i="2"/>
  <c r="EP18" i="2"/>
  <c r="EV17" i="2"/>
  <c r="EU17" i="2"/>
  <c r="ET17" i="2"/>
  <c r="ES17" i="2"/>
  <c r="ER17" i="2"/>
  <c r="EQ17" i="2"/>
  <c r="EP17" i="2"/>
  <c r="EV16" i="2"/>
  <c r="EU16" i="2"/>
  <c r="ET16" i="2"/>
  <c r="ES16" i="2"/>
  <c r="ER16" i="2"/>
  <c r="EQ16" i="2"/>
  <c r="EP16" i="2"/>
  <c r="EV15" i="2"/>
  <c r="EU15" i="2"/>
  <c r="ET15" i="2"/>
  <c r="ES15" i="2"/>
  <c r="ER15" i="2"/>
  <c r="EQ15" i="2"/>
  <c r="EP15" i="2"/>
  <c r="EV14" i="2"/>
  <c r="EU14" i="2"/>
  <c r="ET14" i="2"/>
  <c r="ES14" i="2"/>
  <c r="ER14" i="2"/>
  <c r="EQ14" i="2"/>
  <c r="EP14" i="2"/>
  <c r="EV13" i="2"/>
  <c r="EU13" i="2"/>
  <c r="ET13" i="2"/>
  <c r="ES13" i="2"/>
  <c r="ER13" i="2"/>
  <c r="EQ13" i="2"/>
  <c r="EP13" i="2"/>
  <c r="EV12" i="2"/>
  <c r="EU12" i="2"/>
  <c r="ET12" i="2"/>
  <c r="ES12" i="2"/>
  <c r="ER12" i="2"/>
  <c r="EQ12" i="2"/>
  <c r="EP12" i="2"/>
  <c r="EV11" i="2"/>
  <c r="EU11" i="2"/>
  <c r="ET11" i="2"/>
  <c r="ES11" i="2"/>
  <c r="ER11" i="2"/>
  <c r="EQ11" i="2"/>
  <c r="EP11" i="2"/>
  <c r="EV10" i="2"/>
  <c r="EU10" i="2"/>
  <c r="ET10" i="2"/>
  <c r="ES10" i="2"/>
  <c r="ER10" i="2"/>
  <c r="EQ10" i="2"/>
  <c r="EP10" i="2"/>
  <c r="EW9" i="2"/>
  <c r="EW8" i="2"/>
  <c r="EW7" i="2"/>
  <c r="EW6" i="2"/>
  <c r="EW5" i="2"/>
  <c r="EW4" i="2"/>
  <c r="EW3" i="2"/>
  <c r="ES120" i="2" l="1"/>
  <c r="ES128" i="2"/>
  <c r="EP124" i="2"/>
  <c r="EP101" i="2"/>
  <c r="EW85" i="2"/>
  <c r="ES100" i="2"/>
  <c r="EU121" i="2"/>
  <c r="ES124" i="2"/>
  <c r="ET125" i="2"/>
  <c r="EP128" i="2"/>
  <c r="ET129" i="2"/>
  <c r="EP100" i="2"/>
  <c r="EU129" i="2"/>
  <c r="ER99" i="2"/>
  <c r="ER98" i="2" s="1"/>
  <c r="EU101" i="2"/>
  <c r="EP121" i="2"/>
  <c r="EU122" i="2"/>
  <c r="ET124" i="2"/>
  <c r="ET128" i="2"/>
  <c r="ES132" i="2"/>
  <c r="ET101" i="2"/>
  <c r="ET120" i="2"/>
  <c r="EU125" i="2"/>
  <c r="EP132" i="2"/>
  <c r="ET100" i="2"/>
  <c r="EP120" i="2"/>
  <c r="ET121" i="2"/>
  <c r="EP125" i="2"/>
  <c r="EP129" i="2"/>
  <c r="EU130" i="2"/>
  <c r="ET132" i="2"/>
  <c r="EV99" i="2"/>
  <c r="EW69" i="2"/>
  <c r="EQ121" i="2"/>
  <c r="ES123" i="2"/>
  <c r="EQ129" i="2"/>
  <c r="EV130" i="2"/>
  <c r="ES131" i="2"/>
  <c r="EP99" i="2"/>
  <c r="EP98" i="2" s="1"/>
  <c r="ET99" i="2"/>
  <c r="ET98" i="2" s="1"/>
  <c r="EQ100" i="2"/>
  <c r="EU100" i="2"/>
  <c r="EV101" i="2"/>
  <c r="EP119" i="2"/>
  <c r="ET119" i="2"/>
  <c r="EQ120" i="2"/>
  <c r="EU120" i="2"/>
  <c r="EV121" i="2"/>
  <c r="ES122" i="2"/>
  <c r="EP123" i="2"/>
  <c r="ET123" i="2"/>
  <c r="EQ124" i="2"/>
  <c r="EU124" i="2"/>
  <c r="EV125" i="2"/>
  <c r="EQ128" i="2"/>
  <c r="EU128" i="2"/>
  <c r="EV129" i="2"/>
  <c r="ES130" i="2"/>
  <c r="EP131" i="2"/>
  <c r="ET131" i="2"/>
  <c r="EQ132" i="2"/>
  <c r="EU132" i="2"/>
  <c r="EV119" i="2"/>
  <c r="EQ122" i="2"/>
  <c r="EV123" i="2"/>
  <c r="EQ130" i="2"/>
  <c r="EV131" i="2"/>
  <c r="ES99" i="2"/>
  <c r="EQ101" i="2"/>
  <c r="ES119" i="2"/>
  <c r="EV122" i="2"/>
  <c r="EQ125" i="2"/>
  <c r="EQ99" i="2"/>
  <c r="EQ98" i="2" s="1"/>
  <c r="EU99" i="2"/>
  <c r="EV100" i="2"/>
  <c r="ES101" i="2"/>
  <c r="EQ119" i="2"/>
  <c r="EU119" i="2"/>
  <c r="EV120" i="2"/>
  <c r="ES121" i="2"/>
  <c r="EP122" i="2"/>
  <c r="ET122" i="2"/>
  <c r="EQ123" i="2"/>
  <c r="EU123" i="2"/>
  <c r="EV124" i="2"/>
  <c r="ES125" i="2"/>
  <c r="EV128" i="2"/>
  <c r="EN73" i="2"/>
  <c r="EU98" i="2" l="1"/>
  <c r="ES98" i="2"/>
  <c r="EV98" i="2"/>
  <c r="EM127" i="2"/>
  <c r="EL127" i="2"/>
  <c r="EK127" i="2"/>
  <c r="EJ127" i="2"/>
  <c r="EH127" i="2"/>
  <c r="EG127" i="2"/>
  <c r="EM126" i="2"/>
  <c r="EL126" i="2"/>
  <c r="EK126" i="2"/>
  <c r="EH126" i="2"/>
  <c r="EG126" i="2"/>
  <c r="EI123" i="2"/>
  <c r="EM117" i="2"/>
  <c r="EL117" i="2"/>
  <c r="EK117" i="2"/>
  <c r="EJ117" i="2"/>
  <c r="EM116" i="2"/>
  <c r="EL116" i="2"/>
  <c r="EK116" i="2"/>
  <c r="EJ116" i="2"/>
  <c r="EI116" i="2"/>
  <c r="EI131" i="2" s="1"/>
  <c r="EH116" i="2"/>
  <c r="EG116" i="2"/>
  <c r="EM115" i="2"/>
  <c r="EL115" i="2"/>
  <c r="EK115" i="2"/>
  <c r="EJ115" i="2"/>
  <c r="EI115" i="2"/>
  <c r="EI130" i="2" s="1"/>
  <c r="EH115" i="2"/>
  <c r="EG115" i="2"/>
  <c r="EM114" i="2"/>
  <c r="EL114" i="2"/>
  <c r="EK114" i="2"/>
  <c r="EJ114" i="2"/>
  <c r="EI114" i="2"/>
  <c r="EI129" i="2" s="1"/>
  <c r="EH114" i="2"/>
  <c r="EG114" i="2"/>
  <c r="EM113" i="2"/>
  <c r="EL113" i="2"/>
  <c r="EK113" i="2"/>
  <c r="EJ113" i="2"/>
  <c r="EI113" i="2"/>
  <c r="EI128" i="2" s="1"/>
  <c r="EH113" i="2"/>
  <c r="EG113" i="2"/>
  <c r="EM112" i="2"/>
  <c r="EL112" i="2"/>
  <c r="EK112" i="2"/>
  <c r="EJ112" i="2"/>
  <c r="EI112" i="2"/>
  <c r="EI127" i="2" s="1"/>
  <c r="EH112" i="2"/>
  <c r="EG112" i="2"/>
  <c r="EM110" i="2"/>
  <c r="EL110" i="2"/>
  <c r="EK110" i="2"/>
  <c r="EJ110" i="2"/>
  <c r="EI110" i="2"/>
  <c r="EI125" i="2" s="1"/>
  <c r="EH110" i="2"/>
  <c r="EG110" i="2"/>
  <c r="EM109" i="2"/>
  <c r="EL109" i="2"/>
  <c r="EK109" i="2"/>
  <c r="EJ109" i="2"/>
  <c r="EI109" i="2"/>
  <c r="EI124" i="2" s="1"/>
  <c r="EH109" i="2"/>
  <c r="EG109" i="2"/>
  <c r="EM107" i="2"/>
  <c r="EL107" i="2"/>
  <c r="EK107" i="2"/>
  <c r="EI107" i="2"/>
  <c r="EI122" i="2" s="1"/>
  <c r="EH107" i="2"/>
  <c r="EM106" i="2"/>
  <c r="EL106" i="2"/>
  <c r="EK106" i="2"/>
  <c r="EJ106" i="2"/>
  <c r="EI106" i="2"/>
  <c r="EI121" i="2" s="1"/>
  <c r="EH106" i="2"/>
  <c r="EG106" i="2"/>
  <c r="EM105" i="2"/>
  <c r="EL105" i="2"/>
  <c r="EK105" i="2"/>
  <c r="EJ105" i="2"/>
  <c r="EI105" i="2"/>
  <c r="EI120" i="2" s="1"/>
  <c r="EH105" i="2"/>
  <c r="EG105" i="2"/>
  <c r="EM104" i="2"/>
  <c r="EL104" i="2"/>
  <c r="EK104" i="2"/>
  <c r="EJ104" i="2"/>
  <c r="EI104" i="2"/>
  <c r="EI119" i="2" s="1"/>
  <c r="EH104" i="2"/>
  <c r="EG104" i="2"/>
  <c r="EM96" i="2"/>
  <c r="EL96" i="2"/>
  <c r="EK96" i="2"/>
  <c r="EJ96" i="2"/>
  <c r="EI96" i="2"/>
  <c r="EI101" i="2" s="1"/>
  <c r="EH96" i="2"/>
  <c r="EG96" i="2"/>
  <c r="EM95" i="2"/>
  <c r="EL95" i="2"/>
  <c r="EK95" i="2"/>
  <c r="EJ95" i="2"/>
  <c r="EI95" i="2"/>
  <c r="EI100" i="2" s="1"/>
  <c r="EH95" i="2"/>
  <c r="EG95" i="2"/>
  <c r="EM94" i="2"/>
  <c r="EL94" i="2"/>
  <c r="EK94" i="2"/>
  <c r="EM93" i="2"/>
  <c r="EL93" i="2"/>
  <c r="EK93" i="2"/>
  <c r="EJ93" i="2"/>
  <c r="EI93" i="2"/>
  <c r="EH93" i="2"/>
  <c r="EG93" i="2"/>
  <c r="EM92" i="2"/>
  <c r="EL92" i="2"/>
  <c r="EK92" i="2"/>
  <c r="EI92" i="2"/>
  <c r="EH92" i="2"/>
  <c r="EM91" i="2"/>
  <c r="EL91" i="2"/>
  <c r="EK91" i="2"/>
  <c r="EJ91" i="2"/>
  <c r="EI91" i="2"/>
  <c r="EH91" i="2"/>
  <c r="EG91" i="2"/>
  <c r="EM89" i="2"/>
  <c r="EM132" i="2" s="1"/>
  <c r="EL89" i="2"/>
  <c r="EL131" i="2" s="1"/>
  <c r="EK89" i="2"/>
  <c r="EK130" i="2" s="1"/>
  <c r="EJ89" i="2"/>
  <c r="EJ129" i="2" s="1"/>
  <c r="EH89" i="2"/>
  <c r="EG89" i="2"/>
  <c r="EG88" i="2"/>
  <c r="EG87" i="2"/>
  <c r="EN86" i="2"/>
  <c r="EK85" i="2"/>
  <c r="EJ85" i="2"/>
  <c r="EI85" i="2"/>
  <c r="EH85" i="2"/>
  <c r="EG85" i="2"/>
  <c r="EN84" i="2"/>
  <c r="EN83" i="2"/>
  <c r="EN82" i="2"/>
  <c r="EI117" i="2"/>
  <c r="EI132" i="2" s="1"/>
  <c r="EH117" i="2"/>
  <c r="EG117" i="2"/>
  <c r="EN79" i="2"/>
  <c r="EN78" i="2"/>
  <c r="EN77" i="2"/>
  <c r="EN76" i="2"/>
  <c r="EN75" i="2"/>
  <c r="EN72" i="2"/>
  <c r="EN71" i="2"/>
  <c r="EM69" i="2"/>
  <c r="EM111" i="2" s="1"/>
  <c r="EL69" i="2"/>
  <c r="EL111" i="2" s="1"/>
  <c r="EK69" i="2"/>
  <c r="EK111" i="2" s="1"/>
  <c r="EJ69" i="2"/>
  <c r="EJ111" i="2" s="1"/>
  <c r="EJ126" i="2" s="1"/>
  <c r="EI69" i="2"/>
  <c r="EI111" i="2" s="1"/>
  <c r="EI126" i="2" s="1"/>
  <c r="EH69" i="2"/>
  <c r="EH111" i="2" s="1"/>
  <c r="EG69" i="2"/>
  <c r="EN68" i="2"/>
  <c r="EN67" i="2"/>
  <c r="EN66" i="2"/>
  <c r="EN65" i="2"/>
  <c r="EM63" i="2"/>
  <c r="EL63" i="2"/>
  <c r="EK63" i="2"/>
  <c r="EJ63" i="2"/>
  <c r="EI63" i="2"/>
  <c r="EH63" i="2"/>
  <c r="EG63" i="2"/>
  <c r="EM62" i="2"/>
  <c r="EL62" i="2"/>
  <c r="EK62" i="2"/>
  <c r="EJ62" i="2"/>
  <c r="EH62" i="2"/>
  <c r="EG62" i="2"/>
  <c r="EN61" i="2"/>
  <c r="EN60" i="2"/>
  <c r="EN59" i="2"/>
  <c r="EJ107" i="2"/>
  <c r="EI94" i="2"/>
  <c r="EH94" i="2"/>
  <c r="EG94" i="2"/>
  <c r="EM56" i="2"/>
  <c r="EL56" i="2"/>
  <c r="EK56" i="2"/>
  <c r="EJ56" i="2"/>
  <c r="EI56" i="2"/>
  <c r="EH56" i="2"/>
  <c r="EG56" i="2"/>
  <c r="EM55" i="2"/>
  <c r="EL55" i="2"/>
  <c r="EK55" i="2"/>
  <c r="EJ55" i="2"/>
  <c r="EI55" i="2"/>
  <c r="EH55" i="2"/>
  <c r="EG55" i="2"/>
  <c r="EM54" i="2"/>
  <c r="EL54" i="2"/>
  <c r="EK54" i="2"/>
  <c r="EJ54" i="2"/>
  <c r="EI54" i="2"/>
  <c r="EH54" i="2"/>
  <c r="EG54" i="2"/>
  <c r="EM53" i="2"/>
  <c r="EL53" i="2"/>
  <c r="EK53" i="2"/>
  <c r="EJ53" i="2"/>
  <c r="EI53" i="2"/>
  <c r="EH53" i="2"/>
  <c r="EG53" i="2"/>
  <c r="EM52" i="2"/>
  <c r="EL52" i="2"/>
  <c r="EK52" i="2"/>
  <c r="EJ52" i="2"/>
  <c r="EI52" i="2"/>
  <c r="EH52" i="2"/>
  <c r="EG52" i="2"/>
  <c r="EM51" i="2"/>
  <c r="EL51" i="2"/>
  <c r="EK51" i="2"/>
  <c r="EJ51" i="2"/>
  <c r="EI51" i="2"/>
  <c r="EH51" i="2"/>
  <c r="EG51" i="2"/>
  <c r="EM50" i="2"/>
  <c r="EL50" i="2"/>
  <c r="EK50" i="2"/>
  <c r="EJ50" i="2"/>
  <c r="EI50" i="2"/>
  <c r="EH50" i="2"/>
  <c r="EG50" i="2"/>
  <c r="EM49" i="2"/>
  <c r="EL49" i="2"/>
  <c r="EK49" i="2"/>
  <c r="EJ49" i="2"/>
  <c r="EI49" i="2"/>
  <c r="EH49" i="2"/>
  <c r="EG49" i="2"/>
  <c r="EN46" i="2"/>
  <c r="EN45" i="2"/>
  <c r="EN44" i="2"/>
  <c r="EN43" i="2"/>
  <c r="EN42" i="2"/>
  <c r="EN41" i="2"/>
  <c r="EN40" i="2"/>
  <c r="EN39" i="2"/>
  <c r="EM37" i="2"/>
  <c r="EL37" i="2"/>
  <c r="EK37" i="2"/>
  <c r="EI37" i="2"/>
  <c r="EH37" i="2"/>
  <c r="EG37" i="2"/>
  <c r="EM36" i="2"/>
  <c r="EL36" i="2"/>
  <c r="EK36" i="2"/>
  <c r="EI36" i="2"/>
  <c r="EH36" i="2"/>
  <c r="EM35" i="2"/>
  <c r="EL35" i="2"/>
  <c r="EK35" i="2"/>
  <c r="EJ35" i="2"/>
  <c r="EI35" i="2"/>
  <c r="EH35" i="2"/>
  <c r="EG35" i="2"/>
  <c r="EM34" i="2"/>
  <c r="EL34" i="2"/>
  <c r="EK34" i="2"/>
  <c r="EJ34" i="2"/>
  <c r="EI34" i="2"/>
  <c r="EH34" i="2"/>
  <c r="EG34" i="2"/>
  <c r="EM33" i="2"/>
  <c r="EL33" i="2"/>
  <c r="EK33" i="2"/>
  <c r="EI33" i="2"/>
  <c r="EM32" i="2"/>
  <c r="EL32" i="2"/>
  <c r="EK32" i="2"/>
  <c r="EI32" i="2"/>
  <c r="EH32" i="2"/>
  <c r="EG32" i="2"/>
  <c r="EM31" i="2"/>
  <c r="EL31" i="2"/>
  <c r="EK31" i="2"/>
  <c r="EI31" i="2"/>
  <c r="EH31" i="2"/>
  <c r="EG31" i="2"/>
  <c r="EM30" i="2"/>
  <c r="EL30" i="2"/>
  <c r="EK30" i="2"/>
  <c r="EI30" i="2"/>
  <c r="EH30" i="2"/>
  <c r="EG30" i="2"/>
  <c r="EM29" i="2"/>
  <c r="EL29" i="2"/>
  <c r="EK29" i="2"/>
  <c r="EJ29" i="2"/>
  <c r="EI29" i="2"/>
  <c r="EH29" i="2"/>
  <c r="EG29" i="2"/>
  <c r="EM28" i="2"/>
  <c r="EL28" i="2"/>
  <c r="EK28" i="2"/>
  <c r="EI28" i="2"/>
  <c r="EH28" i="2"/>
  <c r="EG28" i="2"/>
  <c r="EN27" i="2"/>
  <c r="EN26" i="2"/>
  <c r="EN25" i="2"/>
  <c r="EN24" i="2"/>
  <c r="EN23" i="2"/>
  <c r="EJ92" i="2"/>
  <c r="EH33" i="2"/>
  <c r="EG33" i="2"/>
  <c r="EN21" i="2"/>
  <c r="EJ32" i="2"/>
  <c r="EM19" i="2"/>
  <c r="EL19" i="2"/>
  <c r="EK19" i="2"/>
  <c r="EJ19" i="2"/>
  <c r="EM18" i="2"/>
  <c r="EL18" i="2"/>
  <c r="EK18" i="2"/>
  <c r="EJ18" i="2"/>
  <c r="EI18" i="2"/>
  <c r="EI19" i="2" s="1"/>
  <c r="EH18" i="2"/>
  <c r="EH19" i="2" s="1"/>
  <c r="EG18" i="2"/>
  <c r="EG19" i="2" s="1"/>
  <c r="EM17" i="2"/>
  <c r="EL17" i="2"/>
  <c r="EK17" i="2"/>
  <c r="EI17" i="2"/>
  <c r="EH17" i="2"/>
  <c r="EG17" i="2"/>
  <c r="EM16" i="2"/>
  <c r="EL16" i="2"/>
  <c r="EK16" i="2"/>
  <c r="EJ16" i="2"/>
  <c r="EI16" i="2"/>
  <c r="EH16" i="2"/>
  <c r="EG16" i="2"/>
  <c r="EM15" i="2"/>
  <c r="EL15" i="2"/>
  <c r="EK15" i="2"/>
  <c r="EJ15" i="2"/>
  <c r="EI15" i="2"/>
  <c r="EH15" i="2"/>
  <c r="EG15" i="2"/>
  <c r="EM14" i="2"/>
  <c r="EL14" i="2"/>
  <c r="EK14" i="2"/>
  <c r="EJ14" i="2"/>
  <c r="EI14" i="2"/>
  <c r="EH14" i="2"/>
  <c r="EG14" i="2"/>
  <c r="EM13" i="2"/>
  <c r="EL13" i="2"/>
  <c r="EK13" i="2"/>
  <c r="EJ13" i="2"/>
  <c r="EI13" i="2"/>
  <c r="EH13" i="2"/>
  <c r="EG13" i="2"/>
  <c r="EM12" i="2"/>
  <c r="EL12" i="2"/>
  <c r="EK12" i="2"/>
  <c r="EJ12" i="2"/>
  <c r="EI12" i="2"/>
  <c r="EH12" i="2"/>
  <c r="EG12" i="2"/>
  <c r="EM11" i="2"/>
  <c r="EL11" i="2"/>
  <c r="EK11" i="2"/>
  <c r="EJ11" i="2"/>
  <c r="EI11" i="2"/>
  <c r="EH11" i="2"/>
  <c r="EG11" i="2"/>
  <c r="EM10" i="2"/>
  <c r="EL10" i="2"/>
  <c r="EK10" i="2"/>
  <c r="EJ10" i="2"/>
  <c r="EI10" i="2"/>
  <c r="EH10" i="2"/>
  <c r="EG10" i="2"/>
  <c r="EN9" i="2"/>
  <c r="EN8" i="2"/>
  <c r="EN7" i="2"/>
  <c r="EJ17" i="2"/>
  <c r="EN5" i="2"/>
  <c r="EN4" i="2"/>
  <c r="EN3" i="2"/>
  <c r="EN69" i="2" l="1"/>
  <c r="EH131" i="2"/>
  <c r="EG130" i="2"/>
  <c r="EL124" i="2"/>
  <c r="EG132" i="2"/>
  <c r="EH132" i="2"/>
  <c r="EG119" i="2"/>
  <c r="EN85" i="2"/>
  <c r="EG111" i="2"/>
  <c r="EL101" i="2"/>
  <c r="EG123" i="2"/>
  <c r="EL129" i="2"/>
  <c r="EL100" i="2"/>
  <c r="EL121" i="2"/>
  <c r="EG128" i="2"/>
  <c r="EG131" i="2"/>
  <c r="EM125" i="2"/>
  <c r="EM130" i="2"/>
  <c r="EH125" i="2"/>
  <c r="EG100" i="2"/>
  <c r="EH101" i="2"/>
  <c r="EM101" i="2"/>
  <c r="EG120" i="2"/>
  <c r="EH121" i="2"/>
  <c r="EL120" i="2"/>
  <c r="EM122" i="2"/>
  <c r="EH124" i="2"/>
  <c r="EL125" i="2"/>
  <c r="EH129" i="2"/>
  <c r="EH100" i="2"/>
  <c r="EH128" i="2"/>
  <c r="EH120" i="2"/>
  <c r="EM121" i="2"/>
  <c r="EG124" i="2"/>
  <c r="EL128" i="2"/>
  <c r="EM129" i="2"/>
  <c r="EL132" i="2"/>
  <c r="EI99" i="2"/>
  <c r="EI98" i="2" s="1"/>
  <c r="EN6" i="2"/>
  <c r="EK99" i="2"/>
  <c r="EK119" i="2"/>
  <c r="EJ122" i="2"/>
  <c r="EJ31" i="2"/>
  <c r="EG36" i="2"/>
  <c r="EI62" i="2"/>
  <c r="EN80" i="2"/>
  <c r="EG92" i="2"/>
  <c r="EG99" i="2" s="1"/>
  <c r="EM99" i="2"/>
  <c r="EJ100" i="2"/>
  <c r="EG101" i="2"/>
  <c r="EK101" i="2"/>
  <c r="EG107" i="2"/>
  <c r="EG122" i="2" s="1"/>
  <c r="EM119" i="2"/>
  <c r="EJ120" i="2"/>
  <c r="EG121" i="2"/>
  <c r="EK121" i="2"/>
  <c r="EH122" i="2"/>
  <c r="EL122" i="2"/>
  <c r="EM123" i="2"/>
  <c r="EJ124" i="2"/>
  <c r="EG125" i="2"/>
  <c r="EK125" i="2"/>
  <c r="EJ128" i="2"/>
  <c r="EG129" i="2"/>
  <c r="EK129" i="2"/>
  <c r="EH130" i="2"/>
  <c r="EL130" i="2"/>
  <c r="EM131" i="2"/>
  <c r="EJ132" i="2"/>
  <c r="EJ30" i="2"/>
  <c r="EJ94" i="2"/>
  <c r="EJ99" i="2"/>
  <c r="EJ98" i="2" s="1"/>
  <c r="EK100" i="2"/>
  <c r="EJ119" i="2"/>
  <c r="EK120" i="2"/>
  <c r="EJ123" i="2"/>
  <c r="EK124" i="2"/>
  <c r="EK128" i="2"/>
  <c r="EJ131" i="2"/>
  <c r="EK132" i="2"/>
  <c r="EN22" i="2"/>
  <c r="EJ33" i="2"/>
  <c r="EN58" i="2"/>
  <c r="EK123" i="2"/>
  <c r="EJ130" i="2"/>
  <c r="EK131" i="2"/>
  <c r="EJ28" i="2"/>
  <c r="EJ36" i="2"/>
  <c r="EJ37" i="2" s="1"/>
  <c r="EH99" i="2"/>
  <c r="EL99" i="2"/>
  <c r="EL98" i="2" s="1"/>
  <c r="EM100" i="2"/>
  <c r="EJ101" i="2"/>
  <c r="EH119" i="2"/>
  <c r="EL119" i="2"/>
  <c r="EM120" i="2"/>
  <c r="EJ121" i="2"/>
  <c r="EK122" i="2"/>
  <c r="EH123" i="2"/>
  <c r="EL123" i="2"/>
  <c r="EM124" i="2"/>
  <c r="EJ125" i="2"/>
  <c r="EM128" i="2"/>
  <c r="ED127" i="2"/>
  <c r="EC127" i="2"/>
  <c r="EB127" i="2"/>
  <c r="DY127" i="2"/>
  <c r="DX127" i="2"/>
  <c r="ED126" i="2"/>
  <c r="EC126" i="2"/>
  <c r="EB126" i="2"/>
  <c r="DY126" i="2"/>
  <c r="DX126" i="2"/>
  <c r="DZ123" i="2"/>
  <c r="DX88" i="2"/>
  <c r="DX87" i="2"/>
  <c r="EE83" i="2"/>
  <c r="ED69" i="2"/>
  <c r="EC69" i="2"/>
  <c r="EB69" i="2"/>
  <c r="EA69" i="2"/>
  <c r="DZ69" i="2"/>
  <c r="DY69" i="2"/>
  <c r="DX69" i="2"/>
  <c r="ED63" i="2"/>
  <c r="EC63" i="2"/>
  <c r="EB63" i="2"/>
  <c r="EA63" i="2"/>
  <c r="DZ63" i="2"/>
  <c r="DY63" i="2"/>
  <c r="ED62" i="2"/>
  <c r="EC62" i="2"/>
  <c r="EB62" i="2"/>
  <c r="EA62" i="2"/>
  <c r="DY62" i="2"/>
  <c r="DX63" i="2"/>
  <c r="DX62" i="2"/>
  <c r="ED37" i="2"/>
  <c r="EC37" i="2"/>
  <c r="EB37" i="2"/>
  <c r="DZ37" i="2"/>
  <c r="DY37" i="2"/>
  <c r="DX37" i="2"/>
  <c r="ED19" i="2"/>
  <c r="EC19" i="2"/>
  <c r="EB19" i="2"/>
  <c r="EA19" i="2"/>
  <c r="ED56" i="2"/>
  <c r="EC56" i="2"/>
  <c r="EB56" i="2"/>
  <c r="DY56" i="2"/>
  <c r="DX56" i="2"/>
  <c r="ED54" i="2"/>
  <c r="EC54" i="2"/>
  <c r="EB54" i="2"/>
  <c r="EA54" i="2"/>
  <c r="DZ54" i="2"/>
  <c r="DY54" i="2"/>
  <c r="ED53" i="2"/>
  <c r="EC53" i="2"/>
  <c r="EB53" i="2"/>
  <c r="EA53" i="2"/>
  <c r="DZ53" i="2"/>
  <c r="DY53" i="2"/>
  <c r="ED52" i="2"/>
  <c r="EC52" i="2"/>
  <c r="EB52" i="2"/>
  <c r="EA52" i="2"/>
  <c r="DZ52" i="2"/>
  <c r="DY52" i="2"/>
  <c r="DX54" i="2"/>
  <c r="DX53" i="2"/>
  <c r="DX52" i="2"/>
  <c r="ED50" i="2"/>
  <c r="EC50" i="2"/>
  <c r="EB50" i="2"/>
  <c r="EA50" i="2"/>
  <c r="DZ50" i="2"/>
  <c r="DY50" i="2"/>
  <c r="ED49" i="2"/>
  <c r="EC49" i="2"/>
  <c r="EB49" i="2"/>
  <c r="EA49" i="2"/>
  <c r="DZ49" i="2"/>
  <c r="DY49" i="2"/>
  <c r="DX50" i="2"/>
  <c r="DX49" i="2"/>
  <c r="ED32" i="2"/>
  <c r="EC32" i="2"/>
  <c r="EB32" i="2"/>
  <c r="DZ32" i="2"/>
  <c r="DY32" i="2"/>
  <c r="ED31" i="2"/>
  <c r="EC31" i="2"/>
  <c r="EB31" i="2"/>
  <c r="DZ31" i="2"/>
  <c r="DY31" i="2"/>
  <c r="ED30" i="2"/>
  <c r="EC30" i="2"/>
  <c r="EB30" i="2"/>
  <c r="DZ30" i="2"/>
  <c r="DY30" i="2"/>
  <c r="ED29" i="2"/>
  <c r="EC29" i="2"/>
  <c r="EB29" i="2"/>
  <c r="DZ29" i="2"/>
  <c r="DY29" i="2"/>
  <c r="DX32" i="2"/>
  <c r="DX31" i="2"/>
  <c r="DX30" i="2"/>
  <c r="DX29" i="2"/>
  <c r="ED28" i="2"/>
  <c r="EC28" i="2"/>
  <c r="EB28" i="2"/>
  <c r="DZ28" i="2"/>
  <c r="DY28" i="2"/>
  <c r="DX28" i="2"/>
  <c r="ED14" i="2"/>
  <c r="EC14" i="2"/>
  <c r="EB14" i="2"/>
  <c r="EA14" i="2"/>
  <c r="DZ14" i="2"/>
  <c r="DY14" i="2"/>
  <c r="DX14" i="2"/>
  <c r="ED13" i="2"/>
  <c r="EC13" i="2"/>
  <c r="EB13" i="2"/>
  <c r="EA13" i="2"/>
  <c r="DZ13" i="2"/>
  <c r="DY13" i="2"/>
  <c r="DX13" i="2"/>
  <c r="ED12" i="2"/>
  <c r="EC12" i="2"/>
  <c r="EB12" i="2"/>
  <c r="EA12" i="2"/>
  <c r="DZ12" i="2"/>
  <c r="DY12" i="2"/>
  <c r="DX12" i="2"/>
  <c r="ED11" i="2"/>
  <c r="EC11" i="2"/>
  <c r="EB11" i="2"/>
  <c r="EA11" i="2"/>
  <c r="DZ11" i="2"/>
  <c r="DY11" i="2"/>
  <c r="DX11" i="2"/>
  <c r="EG98" i="2" l="1"/>
  <c r="EM98" i="2"/>
  <c r="EK98" i="2"/>
  <c r="EH98" i="2"/>
  <c r="ED117" i="2"/>
  <c r="EC117" i="2"/>
  <c r="EB117" i="2"/>
  <c r="ED116" i="2"/>
  <c r="EC116" i="2"/>
  <c r="EB116" i="2"/>
  <c r="EA116" i="2"/>
  <c r="DZ116" i="2"/>
  <c r="DZ131" i="2" s="1"/>
  <c r="DY116" i="2"/>
  <c r="DX116" i="2"/>
  <c r="ED115" i="2"/>
  <c r="EC115" i="2"/>
  <c r="EB115" i="2"/>
  <c r="EA115" i="2"/>
  <c r="DZ115" i="2"/>
  <c r="DZ130" i="2" s="1"/>
  <c r="DY115" i="2"/>
  <c r="DX115" i="2"/>
  <c r="ED114" i="2"/>
  <c r="EC114" i="2"/>
  <c r="EB114" i="2"/>
  <c r="EA114" i="2"/>
  <c r="DZ114" i="2"/>
  <c r="DZ129" i="2" s="1"/>
  <c r="DY114" i="2"/>
  <c r="DX114" i="2"/>
  <c r="ED113" i="2"/>
  <c r="EC113" i="2"/>
  <c r="EB113" i="2"/>
  <c r="EA113" i="2"/>
  <c r="DZ113" i="2"/>
  <c r="DZ128" i="2" s="1"/>
  <c r="DY113" i="2"/>
  <c r="DX113" i="2"/>
  <c r="ED112" i="2"/>
  <c r="EC112" i="2"/>
  <c r="EB112" i="2"/>
  <c r="EA112" i="2"/>
  <c r="EA127" i="2" s="1"/>
  <c r="DZ112" i="2"/>
  <c r="DZ127" i="2" s="1"/>
  <c r="DY112" i="2"/>
  <c r="DX112" i="2"/>
  <c r="ED110" i="2"/>
  <c r="EC110" i="2"/>
  <c r="EB110" i="2"/>
  <c r="EA110" i="2"/>
  <c r="DZ110" i="2"/>
  <c r="DZ125" i="2" s="1"/>
  <c r="DY110" i="2"/>
  <c r="DX110" i="2"/>
  <c r="ED109" i="2"/>
  <c r="EC109" i="2"/>
  <c r="EB109" i="2"/>
  <c r="EA109" i="2"/>
  <c r="DZ109" i="2"/>
  <c r="DZ124" i="2" s="1"/>
  <c r="DY109" i="2"/>
  <c r="DX109" i="2"/>
  <c r="ED107" i="2"/>
  <c r="EC107" i="2"/>
  <c r="EB107" i="2"/>
  <c r="ED106" i="2"/>
  <c r="EC106" i="2"/>
  <c r="EB106" i="2"/>
  <c r="EA106" i="2"/>
  <c r="DZ106" i="2"/>
  <c r="DZ121" i="2" s="1"/>
  <c r="DY106" i="2"/>
  <c r="DX106" i="2"/>
  <c r="ED105" i="2"/>
  <c r="EC105" i="2"/>
  <c r="EB105" i="2"/>
  <c r="EA105" i="2"/>
  <c r="DZ105" i="2"/>
  <c r="DZ120" i="2" s="1"/>
  <c r="DY105" i="2"/>
  <c r="DX105" i="2"/>
  <c r="ED104" i="2"/>
  <c r="EC104" i="2"/>
  <c r="EB104" i="2"/>
  <c r="EA104" i="2"/>
  <c r="DZ104" i="2"/>
  <c r="DZ119" i="2" s="1"/>
  <c r="DY104" i="2"/>
  <c r="DX104" i="2"/>
  <c r="ED96" i="2"/>
  <c r="EC96" i="2"/>
  <c r="EB96" i="2"/>
  <c r="EA96" i="2"/>
  <c r="DZ96" i="2"/>
  <c r="DZ101" i="2" s="1"/>
  <c r="DY96" i="2"/>
  <c r="DX96" i="2"/>
  <c r="ED95" i="2"/>
  <c r="EC95" i="2"/>
  <c r="EB95" i="2"/>
  <c r="EA95" i="2"/>
  <c r="DZ95" i="2"/>
  <c r="DZ100" i="2" s="1"/>
  <c r="DY95" i="2"/>
  <c r="DX95" i="2"/>
  <c r="ED94" i="2"/>
  <c r="EC94" i="2"/>
  <c r="EB94" i="2"/>
  <c r="ED93" i="2"/>
  <c r="EC93" i="2"/>
  <c r="EB93" i="2"/>
  <c r="EA93" i="2"/>
  <c r="DZ93" i="2"/>
  <c r="DY93" i="2"/>
  <c r="DX93" i="2"/>
  <c r="ED92" i="2"/>
  <c r="EC92" i="2"/>
  <c r="EB92" i="2"/>
  <c r="ED91" i="2"/>
  <c r="EC91" i="2"/>
  <c r="EB91" i="2"/>
  <c r="EA91" i="2"/>
  <c r="DZ91" i="2"/>
  <c r="DY91" i="2"/>
  <c r="DX91" i="2"/>
  <c r="ED89" i="2"/>
  <c r="EC89" i="2"/>
  <c r="EB89" i="2"/>
  <c r="DY89" i="2"/>
  <c r="DX89" i="2"/>
  <c r="EE86" i="2"/>
  <c r="EB85" i="2"/>
  <c r="EA85" i="2"/>
  <c r="DZ85" i="2"/>
  <c r="DY85" i="2"/>
  <c r="DX85" i="2"/>
  <c r="EE84" i="2"/>
  <c r="DY82" i="2"/>
  <c r="DX82" i="2"/>
  <c r="EA80" i="2"/>
  <c r="EA117" i="2" s="1"/>
  <c r="DZ80" i="2"/>
  <c r="DZ117" i="2" s="1"/>
  <c r="DZ132" i="2" s="1"/>
  <c r="DY80" i="2"/>
  <c r="DY117" i="2" s="1"/>
  <c r="DX80" i="2"/>
  <c r="EE79" i="2"/>
  <c r="EE78" i="2"/>
  <c r="EE77" i="2"/>
  <c r="EE76" i="2"/>
  <c r="EE75" i="2"/>
  <c r="EE73" i="2"/>
  <c r="EE72" i="2"/>
  <c r="EE71" i="2"/>
  <c r="ED111" i="2"/>
  <c r="EC111" i="2"/>
  <c r="EB111" i="2"/>
  <c r="EA111" i="2"/>
  <c r="EA126" i="2" s="1"/>
  <c r="DY111" i="2"/>
  <c r="DX111" i="2"/>
  <c r="EE68" i="2"/>
  <c r="EE67" i="2"/>
  <c r="EE66" i="2"/>
  <c r="EE65" i="2"/>
  <c r="EE61" i="2"/>
  <c r="EE60" i="2"/>
  <c r="EE59" i="2"/>
  <c r="EA58" i="2"/>
  <c r="DZ58" i="2"/>
  <c r="DY58" i="2"/>
  <c r="DY107" i="2" s="1"/>
  <c r="DX58" i="2"/>
  <c r="DX94" i="2" s="1"/>
  <c r="ED55" i="2"/>
  <c r="EC55" i="2"/>
  <c r="EB55" i="2"/>
  <c r="EA55" i="2"/>
  <c r="EA56" i="2" s="1"/>
  <c r="DZ55" i="2"/>
  <c r="DZ56" i="2" s="1"/>
  <c r="DY55" i="2"/>
  <c r="DX55" i="2"/>
  <c r="ED51" i="2"/>
  <c r="EC51" i="2"/>
  <c r="EB51" i="2"/>
  <c r="EA51" i="2"/>
  <c r="DZ51" i="2"/>
  <c r="DY51" i="2"/>
  <c r="DX51" i="2"/>
  <c r="EE46" i="2"/>
  <c r="EE45" i="2"/>
  <c r="EE44" i="2"/>
  <c r="EE43" i="2"/>
  <c r="EE42" i="2"/>
  <c r="EE41" i="2"/>
  <c r="EE40" i="2"/>
  <c r="EE39" i="2"/>
  <c r="ED36" i="2"/>
  <c r="EC36" i="2"/>
  <c r="EB36" i="2"/>
  <c r="ED35" i="2"/>
  <c r="EC35" i="2"/>
  <c r="EB35" i="2"/>
  <c r="EA35" i="2"/>
  <c r="DZ35" i="2"/>
  <c r="DY35" i="2"/>
  <c r="DX35" i="2"/>
  <c r="ED34" i="2"/>
  <c r="EC34" i="2"/>
  <c r="EB34" i="2"/>
  <c r="EA34" i="2"/>
  <c r="DZ34" i="2"/>
  <c r="DY34" i="2"/>
  <c r="DX34" i="2"/>
  <c r="ED33" i="2"/>
  <c r="EC33" i="2"/>
  <c r="EB33" i="2"/>
  <c r="EE27" i="2"/>
  <c r="EE26" i="2"/>
  <c r="EE25" i="2"/>
  <c r="EE24" i="2"/>
  <c r="EE23" i="2"/>
  <c r="EA22" i="2"/>
  <c r="EA33" i="2" s="1"/>
  <c r="DZ22" i="2"/>
  <c r="DZ92" i="2" s="1"/>
  <c r="DY22" i="2"/>
  <c r="DY36" i="2" s="1"/>
  <c r="DX22" i="2"/>
  <c r="EA21" i="2"/>
  <c r="ED18" i="2"/>
  <c r="EC18" i="2"/>
  <c r="EB18" i="2"/>
  <c r="EA18" i="2"/>
  <c r="DZ18" i="2"/>
  <c r="DZ19" i="2" s="1"/>
  <c r="DY18" i="2"/>
  <c r="DY19" i="2" s="1"/>
  <c r="DX18" i="2"/>
  <c r="DX19" i="2" s="1"/>
  <c r="ED17" i="2"/>
  <c r="EC17" i="2"/>
  <c r="EB17" i="2"/>
  <c r="DZ17" i="2"/>
  <c r="DY17" i="2"/>
  <c r="DX17" i="2"/>
  <c r="ED16" i="2"/>
  <c r="EC16" i="2"/>
  <c r="EB16" i="2"/>
  <c r="EA16" i="2"/>
  <c r="DZ16" i="2"/>
  <c r="DY16" i="2"/>
  <c r="DX16" i="2"/>
  <c r="ED15" i="2"/>
  <c r="EC15" i="2"/>
  <c r="EB15" i="2"/>
  <c r="EA15" i="2"/>
  <c r="DZ15" i="2"/>
  <c r="DY15" i="2"/>
  <c r="DX15" i="2"/>
  <c r="ED10" i="2"/>
  <c r="EC10" i="2"/>
  <c r="EB10" i="2"/>
  <c r="EA10" i="2"/>
  <c r="DZ10" i="2"/>
  <c r="DY10" i="2"/>
  <c r="DX10" i="2"/>
  <c r="EE9" i="2"/>
  <c r="EE8" i="2"/>
  <c r="EE7" i="2"/>
  <c r="EA6" i="2"/>
  <c r="EE5" i="2"/>
  <c r="EE4" i="2"/>
  <c r="EE3" i="2"/>
  <c r="EC132" i="2" l="1"/>
  <c r="EC130" i="2"/>
  <c r="EC129" i="2"/>
  <c r="EC99" i="2"/>
  <c r="EC122" i="2"/>
  <c r="EC125" i="2"/>
  <c r="EC123" i="2"/>
  <c r="EC121" i="2"/>
  <c r="EC119" i="2"/>
  <c r="EC100" i="2"/>
  <c r="EC131" i="2"/>
  <c r="EC128" i="2"/>
  <c r="EC101" i="2"/>
  <c r="EC124" i="2"/>
  <c r="EC120" i="2"/>
  <c r="DZ107" i="2"/>
  <c r="DZ122" i="2" s="1"/>
  <c r="DZ62" i="2"/>
  <c r="DX131" i="2"/>
  <c r="DX123" i="2"/>
  <c r="DX119" i="2"/>
  <c r="DX128" i="2"/>
  <c r="DX124" i="2"/>
  <c r="DX130" i="2"/>
  <c r="DX129" i="2"/>
  <c r="DX125" i="2"/>
  <c r="DX121" i="2"/>
  <c r="DX100" i="2"/>
  <c r="DX120" i="2"/>
  <c r="DX101" i="2"/>
  <c r="ED125" i="2"/>
  <c r="ED123" i="2"/>
  <c r="ED121" i="2"/>
  <c r="ED119" i="2"/>
  <c r="ED100" i="2"/>
  <c r="ED131" i="2"/>
  <c r="ED128" i="2"/>
  <c r="ED101" i="2"/>
  <c r="ED124" i="2"/>
  <c r="ED122" i="2"/>
  <c r="ED120" i="2"/>
  <c r="ED132" i="2"/>
  <c r="ED130" i="2"/>
  <c r="ED129" i="2"/>
  <c r="ED99" i="2"/>
  <c r="DY132" i="2"/>
  <c r="DY130" i="2"/>
  <c r="DY129" i="2"/>
  <c r="DY124" i="2"/>
  <c r="DY120" i="2"/>
  <c r="DY125" i="2"/>
  <c r="DY123" i="2"/>
  <c r="DY121" i="2"/>
  <c r="DY119" i="2"/>
  <c r="DY100" i="2"/>
  <c r="DY131" i="2"/>
  <c r="DY128" i="2"/>
  <c r="DY101" i="2"/>
  <c r="DY122" i="2"/>
  <c r="EA89" i="2"/>
  <c r="EA31" i="2"/>
  <c r="EA29" i="2"/>
  <c r="EA32" i="2"/>
  <c r="EA30" i="2"/>
  <c r="EA28" i="2"/>
  <c r="EB124" i="2"/>
  <c r="EB122" i="2"/>
  <c r="EB120" i="2"/>
  <c r="EB101" i="2"/>
  <c r="EB132" i="2"/>
  <c r="EB130" i="2"/>
  <c r="EB129" i="2"/>
  <c r="EB99" i="2"/>
  <c r="EB125" i="2"/>
  <c r="EB123" i="2"/>
  <c r="EB121" i="2"/>
  <c r="EB119" i="2"/>
  <c r="EB100" i="2"/>
  <c r="EB131" i="2"/>
  <c r="EB128" i="2"/>
  <c r="EE21" i="2"/>
  <c r="EE80" i="2"/>
  <c r="EE82" i="2"/>
  <c r="EE85" i="2"/>
  <c r="EA17" i="2"/>
  <c r="DZ36" i="2"/>
  <c r="DY94" i="2"/>
  <c r="DX117" i="2"/>
  <c r="DX132" i="2" s="1"/>
  <c r="EE6" i="2"/>
  <c r="EE22" i="2"/>
  <c r="DZ33" i="2"/>
  <c r="EE58" i="2"/>
  <c r="EE69" i="2"/>
  <c r="EA92" i="2"/>
  <c r="EA107" i="2"/>
  <c r="DZ111" i="2"/>
  <c r="DZ126" i="2" s="1"/>
  <c r="DX33" i="2"/>
  <c r="EA36" i="2"/>
  <c r="EA37" i="2" s="1"/>
  <c r="DX92" i="2"/>
  <c r="DX99" i="2" s="1"/>
  <c r="DZ94" i="2"/>
  <c r="DZ99" i="2" s="1"/>
  <c r="DX107" i="2"/>
  <c r="DX122" i="2" s="1"/>
  <c r="DY33" i="2"/>
  <c r="DX36" i="2"/>
  <c r="DY92" i="2"/>
  <c r="EA94" i="2"/>
  <c r="DY99" i="2" l="1"/>
  <c r="EA131" i="2"/>
  <c r="EA128" i="2"/>
  <c r="EA101" i="2"/>
  <c r="EA121" i="2"/>
  <c r="EA100" i="2"/>
  <c r="EA124" i="2"/>
  <c r="EA122" i="2"/>
  <c r="EA120" i="2"/>
  <c r="EA132" i="2"/>
  <c r="EA130" i="2"/>
  <c r="EA129" i="2"/>
  <c r="EA99" i="2"/>
  <c r="EA98" i="2" s="1"/>
  <c r="EA125" i="2"/>
  <c r="EA123" i="2"/>
  <c r="EA119" i="2"/>
  <c r="DZ98" i="2"/>
  <c r="EB98" i="2"/>
  <c r="DX98" i="2"/>
  <c r="ED98" i="2"/>
  <c r="DY98" i="2"/>
  <c r="EC98" i="2"/>
  <c r="BD52" i="5"/>
  <c r="BD53" i="5"/>
  <c r="BD54" i="5"/>
  <c r="BD55" i="5"/>
  <c r="BD56" i="5"/>
  <c r="BD47" i="5"/>
  <c r="BD48" i="5"/>
  <c r="BD31" i="5"/>
  <c r="BD32" i="5"/>
  <c r="BD33" i="5"/>
  <c r="BD34" i="5"/>
  <c r="BD14" i="5"/>
  <c r="BD15" i="5"/>
  <c r="BD16" i="5"/>
  <c r="BD17" i="5"/>
  <c r="BD12" i="5"/>
  <c r="BD9" i="5"/>
  <c r="BD10" i="5"/>
  <c r="BD18" i="5"/>
  <c r="BD57" i="5"/>
  <c r="BC52" i="5" l="1"/>
  <c r="BC53" i="5"/>
  <c r="BC54" i="5"/>
  <c r="BC55" i="5"/>
  <c r="BC56" i="5"/>
  <c r="BC47" i="5"/>
  <c r="BC48" i="5"/>
  <c r="BC31" i="5"/>
  <c r="BC32" i="5"/>
  <c r="BC33" i="5"/>
  <c r="BC34" i="5"/>
  <c r="BC14" i="5"/>
  <c r="BC15" i="5"/>
  <c r="BC16" i="5"/>
  <c r="BC17" i="5"/>
  <c r="BC9" i="5"/>
  <c r="BC10" i="5"/>
  <c r="BC18" i="5" l="1"/>
  <c r="BC57" i="5"/>
  <c r="BB15" i="5" l="1"/>
  <c r="BA15" i="5"/>
  <c r="BB52" i="5"/>
  <c r="BB53" i="5"/>
  <c r="BB54" i="5"/>
  <c r="BB55" i="5"/>
  <c r="BB56" i="5"/>
  <c r="BB47" i="5"/>
  <c r="BA47" i="5"/>
  <c r="BB48" i="5"/>
  <c r="BB50" i="5"/>
  <c r="BB17" i="5"/>
  <c r="BB16" i="5"/>
  <c r="BB10" i="5"/>
  <c r="BB11" i="5"/>
  <c r="BB18" i="5"/>
  <c r="BB14" i="5"/>
  <c r="BB57" i="5"/>
  <c r="V6" i="4" l="1"/>
  <c r="AA6" i="4"/>
  <c r="R7" i="4"/>
  <c r="DU21" i="2" l="1"/>
  <c r="DU28" i="2" s="1"/>
  <c r="DS91" i="2"/>
  <c r="DT91" i="2"/>
  <c r="AX47" i="5" l="1"/>
  <c r="AY47" i="5"/>
  <c r="AW47" i="5"/>
  <c r="AY48" i="5"/>
  <c r="AX48" i="5"/>
  <c r="AW48" i="5"/>
  <c r="DT85" i="2" l="1"/>
  <c r="DU85" i="2"/>
  <c r="AY18" i="5" s="1"/>
  <c r="DS85" i="2"/>
  <c r="AW18" i="5" s="1"/>
  <c r="DU82" i="2"/>
  <c r="AY14" i="5" s="1"/>
  <c r="DT82" i="2"/>
  <c r="DS82" i="2"/>
  <c r="AW14" i="5" s="1"/>
  <c r="DU80" i="2"/>
  <c r="DU117" i="2" s="1"/>
  <c r="DT80" i="2"/>
  <c r="AX57" i="5" s="1"/>
  <c r="DS80" i="2"/>
  <c r="DS117" i="2" s="1"/>
  <c r="DU58" i="2"/>
  <c r="DU107" i="2" s="1"/>
  <c r="DT58" i="2"/>
  <c r="DT107" i="2" s="1"/>
  <c r="DS58" i="2"/>
  <c r="DS107" i="2" s="1"/>
  <c r="DT22" i="2"/>
  <c r="DT92" i="2" s="1"/>
  <c r="DU22" i="2"/>
  <c r="DU30" i="2" s="1"/>
  <c r="DS22" i="2"/>
  <c r="DS33" i="2" s="1"/>
  <c r="BA57" i="5"/>
  <c r="BA56" i="5"/>
  <c r="BA55" i="5"/>
  <c r="BA54" i="5"/>
  <c r="BA53" i="5"/>
  <c r="BA52" i="5"/>
  <c r="BG50" i="5"/>
  <c r="BF50" i="5"/>
  <c r="BE50" i="5"/>
  <c r="BD50" i="5"/>
  <c r="BC50" i="5"/>
  <c r="BA50" i="5"/>
  <c r="BA48" i="5"/>
  <c r="BG44" i="5"/>
  <c r="BF44" i="5"/>
  <c r="BF45" i="5" s="1"/>
  <c r="BE44" i="5"/>
  <c r="BD44" i="5"/>
  <c r="BC44" i="5"/>
  <c r="BB44" i="5"/>
  <c r="BA44" i="5"/>
  <c r="BG43" i="5"/>
  <c r="BF43" i="5"/>
  <c r="BE43" i="5"/>
  <c r="BD43" i="5"/>
  <c r="BC43" i="5"/>
  <c r="BB43" i="5"/>
  <c r="BA43" i="5"/>
  <c r="BB34" i="5"/>
  <c r="BA34" i="5"/>
  <c r="BB33" i="5"/>
  <c r="BA33" i="5"/>
  <c r="BB32" i="5"/>
  <c r="BA32" i="5"/>
  <c r="BB31" i="5"/>
  <c r="BA31" i="5"/>
  <c r="BA18" i="5"/>
  <c r="BA17" i="5"/>
  <c r="BA16" i="5"/>
  <c r="BA14" i="5"/>
  <c r="BA11" i="5"/>
  <c r="BA10" i="5"/>
  <c r="BD30" i="5"/>
  <c r="BC30" i="5"/>
  <c r="BD40" i="5"/>
  <c r="BC40" i="5"/>
  <c r="BF26" i="5"/>
  <c r="BC7" i="5"/>
  <c r="BC6" i="5"/>
  <c r="BA35" i="5"/>
  <c r="BD38" i="5"/>
  <c r="BC38" i="5"/>
  <c r="BD37" i="5"/>
  <c r="BC37" i="5"/>
  <c r="BD41" i="5"/>
  <c r="BC41" i="5"/>
  <c r="BD23" i="5"/>
  <c r="BD25" i="5"/>
  <c r="BD24" i="5"/>
  <c r="BC20" i="5"/>
  <c r="BB20" i="5"/>
  <c r="BA20" i="5"/>
  <c r="BC22" i="5"/>
  <c r="BB22" i="5"/>
  <c r="BA22" i="5"/>
  <c r="BC21" i="5"/>
  <c r="BB21" i="5"/>
  <c r="BA21" i="5"/>
  <c r="AY56" i="5"/>
  <c r="AX56" i="5"/>
  <c r="AW56" i="5"/>
  <c r="AY55" i="5"/>
  <c r="AX55" i="5"/>
  <c r="AW55" i="5"/>
  <c r="AY54" i="5"/>
  <c r="AX54" i="5"/>
  <c r="AW54" i="5"/>
  <c r="AY53" i="5"/>
  <c r="AX53" i="5"/>
  <c r="AW53" i="5"/>
  <c r="AY52" i="5"/>
  <c r="AX52" i="5"/>
  <c r="AW52" i="5"/>
  <c r="AY50" i="5"/>
  <c r="AX50" i="5"/>
  <c r="AW50" i="5"/>
  <c r="AV50" i="5"/>
  <c r="AU50" i="5"/>
  <c r="AT50" i="5"/>
  <c r="AS50" i="5"/>
  <c r="AY44" i="5"/>
  <c r="AX44" i="5"/>
  <c r="AW44" i="5"/>
  <c r="AY43" i="5"/>
  <c r="AX43" i="5"/>
  <c r="AW43" i="5"/>
  <c r="AY34" i="5"/>
  <c r="AX34" i="5"/>
  <c r="AW34" i="5"/>
  <c r="AY33" i="5"/>
  <c r="AX33" i="5"/>
  <c r="AW33" i="5"/>
  <c r="AY32" i="5"/>
  <c r="AX32" i="5"/>
  <c r="AW32" i="5"/>
  <c r="AY31" i="5"/>
  <c r="AX31" i="5"/>
  <c r="AW31" i="5"/>
  <c r="AX18" i="5"/>
  <c r="AY17" i="5"/>
  <c r="AX17" i="5"/>
  <c r="AW17" i="5"/>
  <c r="AY16" i="5"/>
  <c r="AX16" i="5"/>
  <c r="AW16" i="5"/>
  <c r="AX14" i="5"/>
  <c r="AY12" i="5"/>
  <c r="AX12" i="5"/>
  <c r="AW12" i="5"/>
  <c r="AY10" i="5"/>
  <c r="AX10" i="5"/>
  <c r="AW10" i="5"/>
  <c r="DP69" i="2"/>
  <c r="DP111" i="2" s="1"/>
  <c r="DP126" i="2" s="1"/>
  <c r="DQ69" i="2"/>
  <c r="DQ111" i="2" s="1"/>
  <c r="DQ126" i="2" s="1"/>
  <c r="DR69" i="2"/>
  <c r="DR111" i="2" s="1"/>
  <c r="DR126" i="2" s="1"/>
  <c r="DS69" i="2"/>
  <c r="AW35" i="5" s="1"/>
  <c r="AW49" i="5" s="1"/>
  <c r="DQ117" i="2"/>
  <c r="DP117" i="2"/>
  <c r="DU116" i="2"/>
  <c r="DT116" i="2"/>
  <c r="DS116" i="2"/>
  <c r="DR116" i="2"/>
  <c r="DQ116" i="2"/>
  <c r="DP116" i="2"/>
  <c r="DO116" i="2"/>
  <c r="DU115" i="2"/>
  <c r="DT115" i="2"/>
  <c r="DS115" i="2"/>
  <c r="DR115" i="2"/>
  <c r="DQ115" i="2"/>
  <c r="DP115" i="2"/>
  <c r="DO115" i="2"/>
  <c r="DU114" i="2"/>
  <c r="DU129" i="2" s="1"/>
  <c r="AY30" i="5" s="1"/>
  <c r="DT114" i="2"/>
  <c r="DT129" i="2" s="1"/>
  <c r="AX30" i="5" s="1"/>
  <c r="DS114" i="2"/>
  <c r="DS129" i="2" s="1"/>
  <c r="AW30" i="5" s="1"/>
  <c r="DR114" i="2"/>
  <c r="DR129" i="2" s="1"/>
  <c r="DQ114" i="2"/>
  <c r="DP114" i="2"/>
  <c r="DO114" i="2"/>
  <c r="DU113" i="2"/>
  <c r="DU128" i="2" s="1"/>
  <c r="DT113" i="2"/>
  <c r="DT128" i="2" s="1"/>
  <c r="DS113" i="2"/>
  <c r="DS128" i="2" s="1"/>
  <c r="DR113" i="2"/>
  <c r="DQ113" i="2"/>
  <c r="DP113" i="2"/>
  <c r="DO113" i="2"/>
  <c r="DU112" i="2"/>
  <c r="DU127" i="2" s="1"/>
  <c r="AY40" i="5" s="1"/>
  <c r="DT112" i="2"/>
  <c r="DT127" i="2" s="1"/>
  <c r="AX40" i="5" s="1"/>
  <c r="DS112" i="2"/>
  <c r="DS127" i="2" s="1"/>
  <c r="AW40" i="5" s="1"/>
  <c r="DR112" i="2"/>
  <c r="DR127" i="2" s="1"/>
  <c r="DQ112" i="2"/>
  <c r="DQ127" i="2" s="1"/>
  <c r="DP112" i="2"/>
  <c r="DP127" i="2" s="1"/>
  <c r="DO112" i="2"/>
  <c r="DO127" i="2" s="1"/>
  <c r="DU110" i="2"/>
  <c r="DU125" i="2" s="1"/>
  <c r="DT110" i="2"/>
  <c r="DT125" i="2" s="1"/>
  <c r="DS110" i="2"/>
  <c r="DS125" i="2" s="1"/>
  <c r="DR110" i="2"/>
  <c r="DQ110" i="2"/>
  <c r="DP110" i="2"/>
  <c r="DO110" i="2"/>
  <c r="DU109" i="2"/>
  <c r="DU124" i="2" s="1"/>
  <c r="DT109" i="2"/>
  <c r="DT124" i="2" s="1"/>
  <c r="DS109" i="2"/>
  <c r="DS124" i="2" s="1"/>
  <c r="DR109" i="2"/>
  <c r="DQ109" i="2"/>
  <c r="DP109" i="2"/>
  <c r="DO109" i="2"/>
  <c r="DO107" i="2"/>
  <c r="DU106" i="2"/>
  <c r="DT106" i="2"/>
  <c r="DS106" i="2"/>
  <c r="DR106" i="2"/>
  <c r="DQ106" i="2"/>
  <c r="DP106" i="2"/>
  <c r="DO106" i="2"/>
  <c r="DU105" i="2"/>
  <c r="DT105" i="2"/>
  <c r="DS105" i="2"/>
  <c r="DR105" i="2"/>
  <c r="DQ105" i="2"/>
  <c r="DP105" i="2"/>
  <c r="DO105" i="2"/>
  <c r="DU104" i="2"/>
  <c r="DT104" i="2"/>
  <c r="DS104" i="2"/>
  <c r="DR104" i="2"/>
  <c r="DQ104" i="2"/>
  <c r="DP104" i="2"/>
  <c r="DU96" i="2"/>
  <c r="DT96" i="2"/>
  <c r="DS96" i="2"/>
  <c r="DR96" i="2"/>
  <c r="DQ96" i="2"/>
  <c r="DP96" i="2"/>
  <c r="DO96" i="2"/>
  <c r="DU95" i="2"/>
  <c r="DT95" i="2"/>
  <c r="DS95" i="2"/>
  <c r="DR95" i="2"/>
  <c r="DQ95" i="2"/>
  <c r="DP95" i="2"/>
  <c r="DO95" i="2"/>
  <c r="DU93" i="2"/>
  <c r="DT93" i="2"/>
  <c r="DS93" i="2"/>
  <c r="DR93" i="2"/>
  <c r="DQ93" i="2"/>
  <c r="DP93" i="2"/>
  <c r="DO93" i="2"/>
  <c r="DO92" i="2"/>
  <c r="DU91" i="2"/>
  <c r="DR91" i="2"/>
  <c r="DQ91" i="2"/>
  <c r="DP91" i="2"/>
  <c r="DO91" i="2"/>
  <c r="DU89" i="2"/>
  <c r="DT89" i="2"/>
  <c r="DS89" i="2"/>
  <c r="DS123" i="2" s="1"/>
  <c r="DR89" i="2"/>
  <c r="DQ89" i="2"/>
  <c r="DO88" i="2"/>
  <c r="DO87" i="2"/>
  <c r="DV86" i="2"/>
  <c r="DV84" i="2"/>
  <c r="DR117" i="2"/>
  <c r="DO117" i="2"/>
  <c r="DV79" i="2"/>
  <c r="DV78" i="2"/>
  <c r="DV77" i="2"/>
  <c r="DV76" i="2"/>
  <c r="DV75" i="2"/>
  <c r="DV73" i="2"/>
  <c r="DV72" i="2"/>
  <c r="DV71" i="2"/>
  <c r="DU69" i="2"/>
  <c r="DU111" i="2" s="1"/>
  <c r="DU126" i="2" s="1"/>
  <c r="AY39" i="5" s="1"/>
  <c r="DT69" i="2"/>
  <c r="DT111" i="2" s="1"/>
  <c r="DT126" i="2" s="1"/>
  <c r="AX39" i="5" s="1"/>
  <c r="DO69" i="2"/>
  <c r="DV68" i="2"/>
  <c r="DV67" i="2"/>
  <c r="DV66" i="2"/>
  <c r="DV65" i="2"/>
  <c r="DU63" i="2"/>
  <c r="DT63" i="2"/>
  <c r="DS63" i="2"/>
  <c r="DR63" i="2"/>
  <c r="DQ63" i="2"/>
  <c r="DP63" i="2"/>
  <c r="DO63" i="2"/>
  <c r="DQ62" i="2"/>
  <c r="DV61" i="2"/>
  <c r="DV60" i="2"/>
  <c r="DV59" i="2"/>
  <c r="DR107" i="2"/>
  <c r="DP94" i="2"/>
  <c r="DO94" i="2"/>
  <c r="DU55" i="2"/>
  <c r="DU56" i="2" s="1"/>
  <c r="DT55" i="2"/>
  <c r="DT56" i="2" s="1"/>
  <c r="DS55" i="2"/>
  <c r="DS56" i="2" s="1"/>
  <c r="DR55" i="2"/>
  <c r="DR56" i="2" s="1"/>
  <c r="DQ55" i="2"/>
  <c r="DQ56" i="2" s="1"/>
  <c r="DP55" i="2"/>
  <c r="DP56" i="2" s="1"/>
  <c r="DO55" i="2"/>
  <c r="DO56" i="2" s="1"/>
  <c r="DU54" i="2"/>
  <c r="AY38" i="5" s="1"/>
  <c r="DT54" i="2"/>
  <c r="AX38" i="5" s="1"/>
  <c r="DS54" i="2"/>
  <c r="AW38" i="5" s="1"/>
  <c r="DR54" i="2"/>
  <c r="DQ54" i="2"/>
  <c r="DP54" i="2"/>
  <c r="DO54" i="2"/>
  <c r="DU53" i="2"/>
  <c r="DT53" i="2"/>
  <c r="DS53" i="2"/>
  <c r="DR53" i="2"/>
  <c r="DQ53" i="2"/>
  <c r="DP53" i="2"/>
  <c r="DO53" i="2"/>
  <c r="DU52" i="2"/>
  <c r="AY37" i="5" s="1"/>
  <c r="DT52" i="2"/>
  <c r="AX37" i="5" s="1"/>
  <c r="DS52" i="2"/>
  <c r="AW37" i="5" s="1"/>
  <c r="DR52" i="2"/>
  <c r="DQ52" i="2"/>
  <c r="DP52" i="2"/>
  <c r="DO52" i="2"/>
  <c r="DU51" i="2"/>
  <c r="DT51" i="2"/>
  <c r="DS51" i="2"/>
  <c r="DR51" i="2"/>
  <c r="DQ51" i="2"/>
  <c r="DP51" i="2"/>
  <c r="DO51" i="2"/>
  <c r="DU50" i="2"/>
  <c r="AY41" i="5" s="1"/>
  <c r="DT50" i="2"/>
  <c r="AX41" i="5" s="1"/>
  <c r="DS50" i="2"/>
  <c r="AW41" i="5" s="1"/>
  <c r="DR50" i="2"/>
  <c r="DQ50" i="2"/>
  <c r="DP50" i="2"/>
  <c r="DO50" i="2"/>
  <c r="DU49" i="2"/>
  <c r="DT49" i="2"/>
  <c r="DS49" i="2"/>
  <c r="DR49" i="2"/>
  <c r="DQ49" i="2"/>
  <c r="DP49" i="2"/>
  <c r="DO49" i="2"/>
  <c r="DV46" i="2"/>
  <c r="DV45" i="2"/>
  <c r="DV44" i="2"/>
  <c r="DV43" i="2"/>
  <c r="DV42" i="2"/>
  <c r="DV41" i="2"/>
  <c r="DV40" i="2"/>
  <c r="DV39" i="2"/>
  <c r="DT36" i="2"/>
  <c r="DT37" i="2" s="1"/>
  <c r="DP36" i="2"/>
  <c r="DP37" i="2" s="1"/>
  <c r="DO36" i="2"/>
  <c r="DO37" i="2" s="1"/>
  <c r="DU35" i="2"/>
  <c r="DT35" i="2"/>
  <c r="DS35" i="2"/>
  <c r="DR35" i="2"/>
  <c r="DQ35" i="2"/>
  <c r="DP35" i="2"/>
  <c r="DO35" i="2"/>
  <c r="DU34" i="2"/>
  <c r="DT34" i="2"/>
  <c r="DS34" i="2"/>
  <c r="DR34" i="2"/>
  <c r="DQ34" i="2"/>
  <c r="DP34" i="2"/>
  <c r="DO34" i="2"/>
  <c r="DT33" i="2"/>
  <c r="DP33" i="2"/>
  <c r="DU32" i="2"/>
  <c r="DT32" i="2"/>
  <c r="DS32" i="2"/>
  <c r="DR32" i="2"/>
  <c r="DQ32" i="2"/>
  <c r="DO32" i="2"/>
  <c r="DU31" i="2"/>
  <c r="AY23" i="5" s="1"/>
  <c r="DT31" i="2"/>
  <c r="AX23" i="5" s="1"/>
  <c r="DS31" i="2"/>
  <c r="AW23" i="5" s="1"/>
  <c r="DR31" i="2"/>
  <c r="DQ31" i="2"/>
  <c r="DO31" i="2"/>
  <c r="DQ30" i="2"/>
  <c r="DU29" i="2"/>
  <c r="AY25" i="5" s="1"/>
  <c r="DT29" i="2"/>
  <c r="AX25" i="5" s="1"/>
  <c r="DS29" i="2"/>
  <c r="AW25" i="5" s="1"/>
  <c r="DR29" i="2"/>
  <c r="DQ29" i="2"/>
  <c r="AY24" i="5"/>
  <c r="DT28" i="2"/>
  <c r="AX24" i="5" s="1"/>
  <c r="DS28" i="2"/>
  <c r="AW24" i="5" s="1"/>
  <c r="DR28" i="2"/>
  <c r="DQ28" i="2"/>
  <c r="DO28" i="2"/>
  <c r="DV27" i="2"/>
  <c r="DV26" i="2"/>
  <c r="DV25" i="2"/>
  <c r="DV24" i="2"/>
  <c r="DV23" i="2"/>
  <c r="DR92" i="2"/>
  <c r="DP30" i="2"/>
  <c r="DO33" i="2"/>
  <c r="DO29" i="2"/>
  <c r="DU18" i="2"/>
  <c r="DU19" i="2" s="1"/>
  <c r="DT18" i="2"/>
  <c r="DT19" i="2" s="1"/>
  <c r="DS18" i="2"/>
  <c r="DS19" i="2" s="1"/>
  <c r="DR18" i="2"/>
  <c r="DR19" i="2" s="1"/>
  <c r="DQ18" i="2"/>
  <c r="DQ19" i="2" s="1"/>
  <c r="DP18" i="2"/>
  <c r="DP19" i="2" s="1"/>
  <c r="DO18" i="2"/>
  <c r="DO19" i="2" s="1"/>
  <c r="DU17" i="2"/>
  <c r="DT17" i="2"/>
  <c r="DS17" i="2"/>
  <c r="DR17" i="2"/>
  <c r="DQ17" i="2"/>
  <c r="DU16" i="2"/>
  <c r="DT16" i="2"/>
  <c r="DS16" i="2"/>
  <c r="DR16" i="2"/>
  <c r="DQ16" i="2"/>
  <c r="DP16" i="2"/>
  <c r="DU15" i="2"/>
  <c r="DT15" i="2"/>
  <c r="DS15" i="2"/>
  <c r="DR15" i="2"/>
  <c r="DQ15" i="2"/>
  <c r="DP15" i="2"/>
  <c r="DO15" i="2"/>
  <c r="DU14" i="2"/>
  <c r="DT14" i="2"/>
  <c r="DS14" i="2"/>
  <c r="DR14" i="2"/>
  <c r="DQ14" i="2"/>
  <c r="DU13" i="2"/>
  <c r="AY20" i="5" s="1"/>
  <c r="DT13" i="2"/>
  <c r="AX20" i="5" s="1"/>
  <c r="DS13" i="2"/>
  <c r="AW20" i="5" s="1"/>
  <c r="DR13" i="2"/>
  <c r="DQ13" i="2"/>
  <c r="DP13" i="2"/>
  <c r="DU12" i="2"/>
  <c r="DT12" i="2"/>
  <c r="DS12" i="2"/>
  <c r="DR12" i="2"/>
  <c r="DQ12" i="2"/>
  <c r="DP12" i="2"/>
  <c r="DU11" i="2"/>
  <c r="AY22" i="5" s="1"/>
  <c r="DT11" i="2"/>
  <c r="AX22" i="5" s="1"/>
  <c r="DS11" i="2"/>
  <c r="AW22" i="5" s="1"/>
  <c r="DR11" i="2"/>
  <c r="DQ11" i="2"/>
  <c r="DP11" i="2"/>
  <c r="DO11" i="2"/>
  <c r="DU10" i="2"/>
  <c r="AY21" i="5" s="1"/>
  <c r="DT10" i="2"/>
  <c r="AX21" i="5" s="1"/>
  <c r="DS10" i="2"/>
  <c r="AW21" i="5" s="1"/>
  <c r="DR10" i="2"/>
  <c r="DQ10" i="2"/>
  <c r="DP10" i="2"/>
  <c r="DO10" i="2"/>
  <c r="DV9" i="2"/>
  <c r="DV8" i="2"/>
  <c r="DV7" i="2"/>
  <c r="DO104" i="2"/>
  <c r="DV4" i="2"/>
  <c r="DV3" i="2"/>
  <c r="DO12" i="2"/>
  <c r="AO52" i="5"/>
  <c r="AP52" i="5"/>
  <c r="AQ52" i="5"/>
  <c r="AO53" i="5"/>
  <c r="AP53" i="5"/>
  <c r="AQ53" i="5"/>
  <c r="AO54" i="5"/>
  <c r="AP54" i="5"/>
  <c r="AQ54" i="5"/>
  <c r="AO55" i="5"/>
  <c r="AP55" i="5"/>
  <c r="AQ55" i="5"/>
  <c r="AO56" i="5"/>
  <c r="AP56" i="5"/>
  <c r="AQ56" i="5"/>
  <c r="AO57" i="5"/>
  <c r="AP57" i="5"/>
  <c r="AQ57" i="5"/>
  <c r="AO43" i="5"/>
  <c r="AP43" i="5"/>
  <c r="AQ43" i="5"/>
  <c r="AO44" i="5"/>
  <c r="AP44" i="5"/>
  <c r="AQ44" i="5"/>
  <c r="AO31" i="5"/>
  <c r="AP31" i="5"/>
  <c r="AQ31" i="5"/>
  <c r="AO32" i="5"/>
  <c r="AP32" i="5"/>
  <c r="AQ32" i="5"/>
  <c r="AO33" i="5"/>
  <c r="AP33" i="5"/>
  <c r="AQ33" i="5"/>
  <c r="AO34" i="5"/>
  <c r="AP34" i="5"/>
  <c r="AQ34" i="5"/>
  <c r="AO14" i="5"/>
  <c r="AP14" i="5"/>
  <c r="AQ14" i="5"/>
  <c r="AO16" i="5"/>
  <c r="AP16" i="5"/>
  <c r="AQ16" i="5"/>
  <c r="AO17" i="5"/>
  <c r="AP17" i="5"/>
  <c r="AQ17" i="5"/>
  <c r="AO18" i="5"/>
  <c r="AP18" i="5"/>
  <c r="AQ18" i="5"/>
  <c r="AO9" i="5"/>
  <c r="AP9" i="5"/>
  <c r="AQ9" i="5"/>
  <c r="AO10" i="5"/>
  <c r="AP10" i="5"/>
  <c r="AQ10" i="5"/>
  <c r="AO11" i="5"/>
  <c r="AP11" i="5"/>
  <c r="AQ11" i="5"/>
  <c r="AO12" i="5"/>
  <c r="AP12" i="5"/>
  <c r="AQ12" i="5"/>
  <c r="DU62" i="2" l="1"/>
  <c r="AY57" i="5"/>
  <c r="DS36" i="2"/>
  <c r="DS37" i="2" s="1"/>
  <c r="DT62" i="2"/>
  <c r="DS92" i="2"/>
  <c r="DT94" i="2"/>
  <c r="DT99" i="2" s="1"/>
  <c r="AX5" i="5" s="1"/>
  <c r="DT117" i="2"/>
  <c r="DU36" i="2"/>
  <c r="DU37" i="2" s="1"/>
  <c r="DU92" i="2"/>
  <c r="DR131" i="2"/>
  <c r="DU94" i="2"/>
  <c r="BC39" i="5"/>
  <c r="BC35" i="5"/>
  <c r="BC49" i="5" s="1"/>
  <c r="DS62" i="2"/>
  <c r="DV82" i="2"/>
  <c r="DT123" i="2"/>
  <c r="DT101" i="2"/>
  <c r="AX7" i="5" s="1"/>
  <c r="BD39" i="5"/>
  <c r="BD35" i="5"/>
  <c r="BD49" i="5" s="1"/>
  <c r="DS94" i="2"/>
  <c r="BE26" i="5"/>
  <c r="BD6" i="5"/>
  <c r="BD7" i="5"/>
  <c r="BD26" i="5"/>
  <c r="BB30" i="5"/>
  <c r="BB7" i="5"/>
  <c r="BB6" i="5"/>
  <c r="BB26" i="5"/>
  <c r="BB35" i="5"/>
  <c r="BA6" i="5"/>
  <c r="BA30" i="5"/>
  <c r="BA7" i="5"/>
  <c r="BA26" i="5"/>
  <c r="AW57" i="5"/>
  <c r="AY35" i="5"/>
  <c r="AY49" i="5" s="1"/>
  <c r="AX35" i="5"/>
  <c r="DT30" i="2"/>
  <c r="DU33" i="2"/>
  <c r="DS30" i="2"/>
  <c r="BG45" i="5"/>
  <c r="BA45" i="5"/>
  <c r="BE45" i="5"/>
  <c r="BA49" i="5"/>
  <c r="BC26" i="5"/>
  <c r="BG26" i="5"/>
  <c r="DS120" i="2"/>
  <c r="AY45" i="5"/>
  <c r="AW45" i="5"/>
  <c r="DV85" i="2"/>
  <c r="DS119" i="2"/>
  <c r="DS131" i="2"/>
  <c r="DR132" i="2"/>
  <c r="DU119" i="2"/>
  <c r="DR101" i="2"/>
  <c r="DT119" i="2"/>
  <c r="DR121" i="2"/>
  <c r="DS130" i="2"/>
  <c r="DT131" i="2"/>
  <c r="DS101" i="2"/>
  <c r="AW7" i="5" s="1"/>
  <c r="DR120" i="2"/>
  <c r="DS121" i="2"/>
  <c r="DS122" i="2"/>
  <c r="AW26" i="5" s="1"/>
  <c r="DT132" i="2"/>
  <c r="DS132" i="2"/>
  <c r="DQ120" i="2"/>
  <c r="DR100" i="2"/>
  <c r="DQ125" i="2"/>
  <c r="DS100" i="2"/>
  <c r="AW6" i="5" s="1"/>
  <c r="DQ124" i="2"/>
  <c r="DR125" i="2"/>
  <c r="DU132" i="2"/>
  <c r="DT122" i="2"/>
  <c r="AX26" i="5" s="1"/>
  <c r="DR128" i="2"/>
  <c r="DT130" i="2"/>
  <c r="DQ100" i="2"/>
  <c r="DU100" i="2"/>
  <c r="AY6" i="5" s="1"/>
  <c r="DU120" i="2"/>
  <c r="DQ128" i="2"/>
  <c r="DR122" i="2"/>
  <c r="DT100" i="2"/>
  <c r="AX6" i="5" s="1"/>
  <c r="DQ101" i="2"/>
  <c r="DU101" i="2"/>
  <c r="AY7" i="5" s="1"/>
  <c r="DT120" i="2"/>
  <c r="DQ121" i="2"/>
  <c r="DU121" i="2"/>
  <c r="DQ129" i="2"/>
  <c r="DR130" i="2"/>
  <c r="DQ132" i="2"/>
  <c r="DR124" i="2"/>
  <c r="DP17" i="2"/>
  <c r="DP14" i="2"/>
  <c r="DQ92" i="2"/>
  <c r="DQ36" i="2"/>
  <c r="DQ37" i="2" s="1"/>
  <c r="DQ33" i="2"/>
  <c r="DQ107" i="2"/>
  <c r="DQ122" i="2" s="1"/>
  <c r="DQ94" i="2"/>
  <c r="DQ99" i="2" s="1"/>
  <c r="DV69" i="2"/>
  <c r="DO111" i="2"/>
  <c r="DO126" i="2" s="1"/>
  <c r="DS111" i="2"/>
  <c r="DS126" i="2" s="1"/>
  <c r="AW39" i="5" s="1"/>
  <c r="DP89" i="2"/>
  <c r="DP101" i="2" s="1"/>
  <c r="DP31" i="2"/>
  <c r="DP32" i="2"/>
  <c r="DP28" i="2"/>
  <c r="DV21" i="2"/>
  <c r="DP29" i="2"/>
  <c r="DQ119" i="2"/>
  <c r="DU123" i="2"/>
  <c r="DQ131" i="2"/>
  <c r="DR30" i="2"/>
  <c r="DR62" i="2"/>
  <c r="DP92" i="2"/>
  <c r="DR94" i="2"/>
  <c r="DR99" i="2" s="1"/>
  <c r="DP107" i="2"/>
  <c r="DR119" i="2"/>
  <c r="DT121" i="2"/>
  <c r="DU122" i="2"/>
  <c r="AY26" i="5" s="1"/>
  <c r="DR123" i="2"/>
  <c r="DQ130" i="2"/>
  <c r="DU130" i="2"/>
  <c r="DV80" i="2"/>
  <c r="DQ123" i="2"/>
  <c r="DU131" i="2"/>
  <c r="DV5" i="2"/>
  <c r="DO13" i="2"/>
  <c r="DV22" i="2"/>
  <c r="DO30" i="2"/>
  <c r="DR33" i="2"/>
  <c r="DV58" i="2"/>
  <c r="DO62" i="2"/>
  <c r="DO89" i="2"/>
  <c r="DO101" i="2" s="1"/>
  <c r="DO16" i="2"/>
  <c r="DR36" i="2"/>
  <c r="DR37" i="2" s="1"/>
  <c r="DP62" i="2"/>
  <c r="AD6" i="4"/>
  <c r="AD7" i="4" s="1"/>
  <c r="AC6" i="4"/>
  <c r="AC7" i="4" s="1"/>
  <c r="Z6" i="4"/>
  <c r="Y6" i="4"/>
  <c r="Y4" i="4"/>
  <c r="U6" i="4"/>
  <c r="U7" i="4" s="1"/>
  <c r="S7" i="4"/>
  <c r="T7" i="4"/>
  <c r="V7" i="4"/>
  <c r="W7" i="4"/>
  <c r="X7" i="4"/>
  <c r="Y7" i="4"/>
  <c r="Z7" i="4"/>
  <c r="AA7" i="4"/>
  <c r="AB7" i="4"/>
  <c r="AE7" i="4"/>
  <c r="T6" i="4"/>
  <c r="S6" i="4"/>
  <c r="R6" i="4"/>
  <c r="DS99" i="2" l="1"/>
  <c r="AW5" i="5" s="1"/>
  <c r="AW4" i="5" s="1"/>
  <c r="BC45" i="5"/>
  <c r="DU99" i="2"/>
  <c r="DU98" i="2" s="1"/>
  <c r="BD45" i="5"/>
  <c r="DT98" i="2"/>
  <c r="BB45" i="5"/>
  <c r="BB49" i="5"/>
  <c r="DP122" i="2"/>
  <c r="BD5" i="5"/>
  <c r="BD4" i="5" s="1"/>
  <c r="BC5" i="5"/>
  <c r="BC4" i="5" s="1"/>
  <c r="BB5" i="5"/>
  <c r="BB4" i="5" s="1"/>
  <c r="AX45" i="5"/>
  <c r="AX49" i="5"/>
  <c r="BA5" i="5"/>
  <c r="BA4" i="5" s="1"/>
  <c r="AX4" i="5"/>
  <c r="DO130" i="2"/>
  <c r="DP120" i="2"/>
  <c r="DP100" i="2"/>
  <c r="DP124" i="2"/>
  <c r="DR98" i="2"/>
  <c r="DQ98" i="2"/>
  <c r="DO121" i="2"/>
  <c r="DO123" i="2"/>
  <c r="DO128" i="2"/>
  <c r="DO124" i="2"/>
  <c r="DO120" i="2"/>
  <c r="DO129" i="2"/>
  <c r="DO125" i="2"/>
  <c r="DO131" i="2"/>
  <c r="DO99" i="2"/>
  <c r="DO122" i="2"/>
  <c r="DP132" i="2"/>
  <c r="DO17" i="2"/>
  <c r="DO14" i="2"/>
  <c r="DV6" i="2"/>
  <c r="DP128" i="2"/>
  <c r="DO132" i="2"/>
  <c r="DP119" i="2"/>
  <c r="DP123" i="2"/>
  <c r="DP99" i="2"/>
  <c r="DP129" i="2"/>
  <c r="DP125" i="2"/>
  <c r="DP121" i="2"/>
  <c r="DP130" i="2"/>
  <c r="DP131" i="2"/>
  <c r="DO100" i="2"/>
  <c r="DO119" i="2"/>
  <c r="O8" i="3"/>
  <c r="L8" i="3"/>
  <c r="M8" i="3"/>
  <c r="K8" i="3"/>
  <c r="L7" i="3"/>
  <c r="K7" i="3"/>
  <c r="M7" i="3" s="1"/>
  <c r="M6" i="3"/>
  <c r="L6" i="3"/>
  <c r="K6" i="3"/>
  <c r="O5" i="3"/>
  <c r="M5" i="3"/>
  <c r="L5" i="3"/>
  <c r="K5" i="3"/>
  <c r="L4" i="3"/>
  <c r="M4" i="3" s="1"/>
  <c r="K4" i="3"/>
  <c r="D7" i="3"/>
  <c r="DS98" i="2" l="1"/>
  <c r="AY5" i="5"/>
  <c r="AY4" i="5" s="1"/>
  <c r="DP98" i="2"/>
  <c r="DO98" i="2"/>
  <c r="E7" i="3"/>
  <c r="C7" i="3"/>
  <c r="V5" i="4" l="1"/>
  <c r="V4" i="4"/>
  <c r="AN52" i="5" l="1"/>
  <c r="AN53" i="5"/>
  <c r="AN54" i="5"/>
  <c r="AN55" i="5"/>
  <c r="AN56" i="5"/>
  <c r="AN48" i="5"/>
  <c r="AN31" i="5"/>
  <c r="AN32" i="5"/>
  <c r="AN33" i="5"/>
  <c r="AN34" i="5"/>
  <c r="AN16" i="5"/>
  <c r="AN17" i="5"/>
  <c r="AN9" i="5"/>
  <c r="AN10" i="5"/>
  <c r="AN11" i="5"/>
  <c r="AN12" i="5"/>
  <c r="DI96" i="2"/>
  <c r="DI85" i="2" l="1"/>
  <c r="AN18" i="5" s="1"/>
  <c r="DI82" i="2"/>
  <c r="AN14" i="5" s="1"/>
  <c r="DI80" i="2"/>
  <c r="AN57" i="5" s="1"/>
  <c r="DI58" i="2"/>
  <c r="DI22" i="2"/>
  <c r="E6" i="3" l="1"/>
  <c r="D6" i="3"/>
  <c r="C6" i="3"/>
  <c r="DH28" i="2" l="1"/>
  <c r="AM24" i="5" s="1"/>
  <c r="AM52" i="5"/>
  <c r="AM53" i="5"/>
  <c r="AM54" i="5"/>
  <c r="AM55" i="5"/>
  <c r="AM56" i="5"/>
  <c r="AM48" i="5"/>
  <c r="AM31" i="5"/>
  <c r="AM32" i="5"/>
  <c r="AM33" i="5"/>
  <c r="AM34" i="5"/>
  <c r="AM16" i="5"/>
  <c r="AM17" i="5"/>
  <c r="AM18" i="5"/>
  <c r="AM9" i="5"/>
  <c r="AM10" i="5"/>
  <c r="AM11" i="5"/>
  <c r="AM12" i="5"/>
  <c r="DH58" i="2" l="1"/>
  <c r="DH82" i="2"/>
  <c r="AM14" i="5" s="1"/>
  <c r="DH80" i="2"/>
  <c r="AM57" i="5" s="1"/>
  <c r="DH22" i="2"/>
  <c r="DG95" i="2" l="1"/>
  <c r="DG91" i="2"/>
  <c r="DG96" i="2"/>
  <c r="DG93" i="2"/>
  <c r="DG21" i="2" l="1"/>
  <c r="AL52" i="5" l="1"/>
  <c r="AL53" i="5"/>
  <c r="AL54" i="5"/>
  <c r="AL55" i="5"/>
  <c r="AL56" i="5"/>
  <c r="AL48" i="5"/>
  <c r="AL31" i="5"/>
  <c r="AL32" i="5"/>
  <c r="AL33" i="5"/>
  <c r="AL34" i="5"/>
  <c r="AL16" i="5"/>
  <c r="AL17" i="5"/>
  <c r="AL9" i="5"/>
  <c r="AL10" i="5"/>
  <c r="AL11" i="5"/>
  <c r="AL12" i="5"/>
  <c r="DG85" i="2"/>
  <c r="AL18" i="5" s="1"/>
  <c r="DG82" i="2"/>
  <c r="AL14" i="5" s="1"/>
  <c r="DG80" i="2"/>
  <c r="AL57" i="5" s="1"/>
  <c r="DG58" i="2"/>
  <c r="DG94" i="2" s="1"/>
  <c r="DG22" i="2"/>
  <c r="DG92" i="2" s="1"/>
  <c r="DG6" i="2"/>
  <c r="DF106" i="2" l="1"/>
  <c r="DF105" i="2"/>
  <c r="DF116" i="2"/>
  <c r="DF115" i="2"/>
  <c r="DF114" i="2"/>
  <c r="DF3" i="2"/>
  <c r="AK11" i="5" s="1"/>
  <c r="DF21" i="2"/>
  <c r="AK12" i="5" s="1"/>
  <c r="AK56" i="5"/>
  <c r="AK55" i="5"/>
  <c r="AK54" i="5"/>
  <c r="AK53" i="5"/>
  <c r="AK52" i="5"/>
  <c r="AQ50" i="5"/>
  <c r="AP50" i="5"/>
  <c r="AO50" i="5"/>
  <c r="AN50" i="5"/>
  <c r="AM50" i="5"/>
  <c r="AL50" i="5"/>
  <c r="AK50" i="5"/>
  <c r="AK48" i="5"/>
  <c r="AN44" i="5"/>
  <c r="AM44" i="5"/>
  <c r="AL44" i="5"/>
  <c r="AK44" i="5"/>
  <c r="AN43" i="5"/>
  <c r="AM43" i="5"/>
  <c r="AL43" i="5"/>
  <c r="AK43" i="5"/>
  <c r="AK34" i="5"/>
  <c r="AK33" i="5"/>
  <c r="AK32" i="5"/>
  <c r="AK31" i="5"/>
  <c r="AK17" i="5"/>
  <c r="AK16" i="5"/>
  <c r="AK10" i="5"/>
  <c r="AK9" i="5"/>
  <c r="DF85" i="2" l="1"/>
  <c r="DF82" i="2"/>
  <c r="AK14" i="5" s="1"/>
  <c r="DF80" i="2"/>
  <c r="DM80" i="2" s="1"/>
  <c r="DF58" i="2"/>
  <c r="DF107" i="2" s="1"/>
  <c r="DF22" i="2"/>
  <c r="DF33" i="2" s="1"/>
  <c r="DF5" i="2"/>
  <c r="DF104" i="2" s="1"/>
  <c r="DG117" i="2"/>
  <c r="DL116" i="2"/>
  <c r="DK116" i="2"/>
  <c r="DJ116" i="2"/>
  <c r="DI116" i="2"/>
  <c r="DH116" i="2"/>
  <c r="DG116" i="2"/>
  <c r="DL115" i="2"/>
  <c r="DK115" i="2"/>
  <c r="DJ115" i="2"/>
  <c r="DI115" i="2"/>
  <c r="DH115" i="2"/>
  <c r="DG115" i="2"/>
  <c r="DL114" i="2"/>
  <c r="DL129" i="2" s="1"/>
  <c r="AQ30" i="5" s="1"/>
  <c r="DK114" i="2"/>
  <c r="DK129" i="2" s="1"/>
  <c r="AP30" i="5" s="1"/>
  <c r="DJ114" i="2"/>
  <c r="DJ129" i="2" s="1"/>
  <c r="AO30" i="5" s="1"/>
  <c r="DI114" i="2"/>
  <c r="DI129" i="2" s="1"/>
  <c r="AN30" i="5" s="1"/>
  <c r="DH114" i="2"/>
  <c r="DG114" i="2"/>
  <c r="DL113" i="2"/>
  <c r="DL128" i="2" s="1"/>
  <c r="DK113" i="2"/>
  <c r="DK128" i="2" s="1"/>
  <c r="DJ113" i="2"/>
  <c r="DJ128" i="2" s="1"/>
  <c r="DI113" i="2"/>
  <c r="DH113" i="2"/>
  <c r="DG113" i="2"/>
  <c r="DF113" i="2"/>
  <c r="DL112" i="2"/>
  <c r="DL127" i="2" s="1"/>
  <c r="AQ40" i="5" s="1"/>
  <c r="DK112" i="2"/>
  <c r="DK127" i="2" s="1"/>
  <c r="AP40" i="5" s="1"/>
  <c r="DJ112" i="2"/>
  <c r="DJ127" i="2" s="1"/>
  <c r="AO40" i="5" s="1"/>
  <c r="DI112" i="2"/>
  <c r="DI127" i="2" s="1"/>
  <c r="AN40" i="5" s="1"/>
  <c r="DH112" i="2"/>
  <c r="DH127" i="2" s="1"/>
  <c r="AM40" i="5" s="1"/>
  <c r="DG112" i="2"/>
  <c r="DG127" i="2" s="1"/>
  <c r="AL40" i="5" s="1"/>
  <c r="DF112" i="2"/>
  <c r="DF127" i="2" s="1"/>
  <c r="AK40" i="5" s="1"/>
  <c r="DL110" i="2"/>
  <c r="DL125" i="2" s="1"/>
  <c r="DK110" i="2"/>
  <c r="DK125" i="2" s="1"/>
  <c r="DJ110" i="2"/>
  <c r="DJ125" i="2" s="1"/>
  <c r="DI110" i="2"/>
  <c r="DH110" i="2"/>
  <c r="DG110" i="2"/>
  <c r="DF110" i="2"/>
  <c r="DL109" i="2"/>
  <c r="DL124" i="2" s="1"/>
  <c r="DK109" i="2"/>
  <c r="DK124" i="2" s="1"/>
  <c r="DJ109" i="2"/>
  <c r="DJ124" i="2" s="1"/>
  <c r="DI109" i="2"/>
  <c r="DH109" i="2"/>
  <c r="DG109" i="2"/>
  <c r="DF109" i="2"/>
  <c r="DL106" i="2"/>
  <c r="DK106" i="2"/>
  <c r="DJ106" i="2"/>
  <c r="DI106" i="2"/>
  <c r="DH106" i="2"/>
  <c r="DG106" i="2"/>
  <c r="DL105" i="2"/>
  <c r="DK105" i="2"/>
  <c r="DJ105" i="2"/>
  <c r="DI105" i="2"/>
  <c r="DH105" i="2"/>
  <c r="DG105" i="2"/>
  <c r="DL104" i="2"/>
  <c r="DK104" i="2"/>
  <c r="DJ104" i="2"/>
  <c r="DI104" i="2"/>
  <c r="DH104" i="2"/>
  <c r="DG104" i="2"/>
  <c r="DL96" i="2"/>
  <c r="DK96" i="2"/>
  <c r="DJ96" i="2"/>
  <c r="DH96" i="2"/>
  <c r="DF96" i="2"/>
  <c r="DL95" i="2"/>
  <c r="DK95" i="2"/>
  <c r="DJ95" i="2"/>
  <c r="DI95" i="2"/>
  <c r="DH95" i="2"/>
  <c r="DF95" i="2"/>
  <c r="DL93" i="2"/>
  <c r="DK93" i="2"/>
  <c r="DJ93" i="2"/>
  <c r="DI93" i="2"/>
  <c r="DH93" i="2"/>
  <c r="DF93" i="2"/>
  <c r="DL91" i="2"/>
  <c r="DK91" i="2"/>
  <c r="DJ91" i="2"/>
  <c r="DI91" i="2"/>
  <c r="DH91" i="2"/>
  <c r="DF91" i="2"/>
  <c r="DL89" i="2"/>
  <c r="DL123" i="2" s="1"/>
  <c r="DK89" i="2"/>
  <c r="DK123" i="2" s="1"/>
  <c r="DJ89" i="2"/>
  <c r="DJ123" i="2" s="1"/>
  <c r="DI89" i="2"/>
  <c r="DH89" i="2"/>
  <c r="DH123" i="2" s="1"/>
  <c r="DG89" i="2"/>
  <c r="DF89" i="2"/>
  <c r="DF123" i="2" s="1"/>
  <c r="DF88" i="2"/>
  <c r="DF87" i="2"/>
  <c r="DM86" i="2"/>
  <c r="DM84" i="2"/>
  <c r="DL117" i="2"/>
  <c r="DK117" i="2"/>
  <c r="DJ117" i="2"/>
  <c r="DI117" i="2"/>
  <c r="DH117" i="2"/>
  <c r="DM79" i="2"/>
  <c r="DM78" i="2"/>
  <c r="DM77" i="2"/>
  <c r="DM76" i="2"/>
  <c r="DM75" i="2"/>
  <c r="DM73" i="2"/>
  <c r="DM72" i="2"/>
  <c r="DM71" i="2"/>
  <c r="DL69" i="2"/>
  <c r="DK69" i="2"/>
  <c r="DJ69" i="2"/>
  <c r="DI69" i="2"/>
  <c r="DH69" i="2"/>
  <c r="DG69" i="2"/>
  <c r="DF69" i="2"/>
  <c r="DM68" i="2"/>
  <c r="DM67" i="2"/>
  <c r="DM66" i="2"/>
  <c r="DM65" i="2"/>
  <c r="DL63" i="2"/>
  <c r="DK63" i="2"/>
  <c r="DJ63" i="2"/>
  <c r="DI63" i="2"/>
  <c r="DH63" i="2"/>
  <c r="DF63" i="2"/>
  <c r="DM61" i="2"/>
  <c r="DM60" i="2"/>
  <c r="DM59" i="2"/>
  <c r="DL107" i="2"/>
  <c r="DK94" i="2"/>
  <c r="DJ94" i="2"/>
  <c r="DI107" i="2"/>
  <c r="DH107" i="2"/>
  <c r="DF94" i="2"/>
  <c r="DL55" i="2"/>
  <c r="DL56" i="2" s="1"/>
  <c r="DK55" i="2"/>
  <c r="DK56" i="2" s="1"/>
  <c r="DJ55" i="2"/>
  <c r="DJ56" i="2" s="1"/>
  <c r="DI55" i="2"/>
  <c r="DI56" i="2" s="1"/>
  <c r="DH55" i="2"/>
  <c r="DH56" i="2" s="1"/>
  <c r="DG55" i="2"/>
  <c r="DG56" i="2" s="1"/>
  <c r="DF55" i="2"/>
  <c r="DF56" i="2" s="1"/>
  <c r="DL54" i="2"/>
  <c r="AQ38" i="5" s="1"/>
  <c r="DK54" i="2"/>
  <c r="AP38" i="5" s="1"/>
  <c r="DJ54" i="2"/>
  <c r="AO38" i="5" s="1"/>
  <c r="DI54" i="2"/>
  <c r="AN38" i="5" s="1"/>
  <c r="DH54" i="2"/>
  <c r="AM38" i="5" s="1"/>
  <c r="DG54" i="2"/>
  <c r="AL38" i="5" s="1"/>
  <c r="DF54" i="2"/>
  <c r="AK38" i="5" s="1"/>
  <c r="DL53" i="2"/>
  <c r="DK53" i="2"/>
  <c r="DJ53" i="2"/>
  <c r="DI53" i="2"/>
  <c r="DH53" i="2"/>
  <c r="DG53" i="2"/>
  <c r="DF53" i="2"/>
  <c r="DL52" i="2"/>
  <c r="AQ37" i="5" s="1"/>
  <c r="DK52" i="2"/>
  <c r="AP37" i="5" s="1"/>
  <c r="DJ52" i="2"/>
  <c r="AO37" i="5" s="1"/>
  <c r="DI52" i="2"/>
  <c r="AN37" i="5" s="1"/>
  <c r="DH52" i="2"/>
  <c r="AM37" i="5" s="1"/>
  <c r="DG52" i="2"/>
  <c r="AL37" i="5" s="1"/>
  <c r="DF52" i="2"/>
  <c r="AK37" i="5" s="1"/>
  <c r="DL51" i="2"/>
  <c r="DK51" i="2"/>
  <c r="DJ51" i="2"/>
  <c r="DI51" i="2"/>
  <c r="DH51" i="2"/>
  <c r="DG51" i="2"/>
  <c r="DF51" i="2"/>
  <c r="DL50" i="2"/>
  <c r="AQ41" i="5" s="1"/>
  <c r="DK50" i="2"/>
  <c r="AP41" i="5" s="1"/>
  <c r="DJ50" i="2"/>
  <c r="AO41" i="5" s="1"/>
  <c r="DI50" i="2"/>
  <c r="AN41" i="5" s="1"/>
  <c r="DH50" i="2"/>
  <c r="AM41" i="5" s="1"/>
  <c r="DG50" i="2"/>
  <c r="AL41" i="5" s="1"/>
  <c r="DF50" i="2"/>
  <c r="AK41" i="5" s="1"/>
  <c r="DL49" i="2"/>
  <c r="DK49" i="2"/>
  <c r="DJ49" i="2"/>
  <c r="DI49" i="2"/>
  <c r="DH49" i="2"/>
  <c r="DG49" i="2"/>
  <c r="DF49" i="2"/>
  <c r="DM46" i="2"/>
  <c r="DM45" i="2"/>
  <c r="DM44" i="2"/>
  <c r="DM43" i="2"/>
  <c r="DM42" i="2"/>
  <c r="DM41" i="2"/>
  <c r="DM40" i="2"/>
  <c r="DM39" i="2"/>
  <c r="DL35" i="2"/>
  <c r="DK35" i="2"/>
  <c r="DJ35" i="2"/>
  <c r="DI35" i="2"/>
  <c r="DH35" i="2"/>
  <c r="DG35" i="2"/>
  <c r="DF35" i="2"/>
  <c r="DL34" i="2"/>
  <c r="DK34" i="2"/>
  <c r="DJ34" i="2"/>
  <c r="DI34" i="2"/>
  <c r="DH34" i="2"/>
  <c r="DG34" i="2"/>
  <c r="DF34" i="2"/>
  <c r="DL32" i="2"/>
  <c r="DK32" i="2"/>
  <c r="DJ32" i="2"/>
  <c r="DI32" i="2"/>
  <c r="DH32" i="2"/>
  <c r="DG32" i="2"/>
  <c r="DF32" i="2"/>
  <c r="DL31" i="2"/>
  <c r="AQ23" i="5" s="1"/>
  <c r="DK31" i="2"/>
  <c r="AP23" i="5" s="1"/>
  <c r="DJ31" i="2"/>
  <c r="AO23" i="5" s="1"/>
  <c r="DI31" i="2"/>
  <c r="AN23" i="5" s="1"/>
  <c r="DH31" i="2"/>
  <c r="AM23" i="5" s="1"/>
  <c r="DG31" i="2"/>
  <c r="AL23" i="5" s="1"/>
  <c r="DF31" i="2"/>
  <c r="AK23" i="5" s="1"/>
  <c r="DL29" i="2"/>
  <c r="AQ25" i="5" s="1"/>
  <c r="DK29" i="2"/>
  <c r="AP25" i="5" s="1"/>
  <c r="DJ29" i="2"/>
  <c r="AO25" i="5" s="1"/>
  <c r="DI29" i="2"/>
  <c r="AN25" i="5" s="1"/>
  <c r="DH29" i="2"/>
  <c r="AM25" i="5" s="1"/>
  <c r="DG29" i="2"/>
  <c r="AL25" i="5" s="1"/>
  <c r="DF29" i="2"/>
  <c r="AK25" i="5" s="1"/>
  <c r="DL28" i="2"/>
  <c r="AQ24" i="5" s="1"/>
  <c r="DK28" i="2"/>
  <c r="AP24" i="5" s="1"/>
  <c r="DJ28" i="2"/>
  <c r="AO24" i="5" s="1"/>
  <c r="DI28" i="2"/>
  <c r="AN24" i="5" s="1"/>
  <c r="DG28" i="2"/>
  <c r="AL24" i="5" s="1"/>
  <c r="DF28" i="2"/>
  <c r="AK24" i="5" s="1"/>
  <c r="DM27" i="2"/>
  <c r="DM26" i="2"/>
  <c r="DM25" i="2"/>
  <c r="DM24" i="2"/>
  <c r="DM23" i="2"/>
  <c r="DL92" i="2"/>
  <c r="DK30" i="2"/>
  <c r="DJ33" i="2"/>
  <c r="DI92" i="2"/>
  <c r="DH92" i="2"/>
  <c r="DG30" i="2"/>
  <c r="DM21" i="2"/>
  <c r="DL18" i="2"/>
  <c r="DL19" i="2" s="1"/>
  <c r="DK18" i="2"/>
  <c r="DK19" i="2" s="1"/>
  <c r="DJ18" i="2"/>
  <c r="DJ19" i="2" s="1"/>
  <c r="DI18" i="2"/>
  <c r="DI19" i="2" s="1"/>
  <c r="DH18" i="2"/>
  <c r="DH19" i="2" s="1"/>
  <c r="DG18" i="2"/>
  <c r="DG19" i="2" s="1"/>
  <c r="DF18" i="2"/>
  <c r="DF19" i="2" s="1"/>
  <c r="DG17" i="2"/>
  <c r="DL16" i="2"/>
  <c r="DK16" i="2"/>
  <c r="DJ16" i="2"/>
  <c r="DI16" i="2"/>
  <c r="DH16" i="2"/>
  <c r="DG16" i="2"/>
  <c r="DL15" i="2"/>
  <c r="DK15" i="2"/>
  <c r="DJ15" i="2"/>
  <c r="DI15" i="2"/>
  <c r="DH15" i="2"/>
  <c r="DG15" i="2"/>
  <c r="DF15" i="2"/>
  <c r="DG14" i="2"/>
  <c r="DL13" i="2"/>
  <c r="AQ20" i="5" s="1"/>
  <c r="DK13" i="2"/>
  <c r="AP20" i="5" s="1"/>
  <c r="DJ13" i="2"/>
  <c r="AO20" i="5" s="1"/>
  <c r="DI13" i="2"/>
  <c r="AN20" i="5" s="1"/>
  <c r="DH13" i="2"/>
  <c r="AM20" i="5" s="1"/>
  <c r="DG13" i="2"/>
  <c r="AL20" i="5" s="1"/>
  <c r="DL12" i="2"/>
  <c r="DK12" i="2"/>
  <c r="DJ12" i="2"/>
  <c r="DI12" i="2"/>
  <c r="DH12" i="2"/>
  <c r="DG12" i="2"/>
  <c r="DF12" i="2"/>
  <c r="DL11" i="2"/>
  <c r="AQ22" i="5" s="1"/>
  <c r="DK11" i="2"/>
  <c r="AP22" i="5" s="1"/>
  <c r="DJ11" i="2"/>
  <c r="AO22" i="5" s="1"/>
  <c r="DI11" i="2"/>
  <c r="AN22" i="5" s="1"/>
  <c r="DH11" i="2"/>
  <c r="AM22" i="5" s="1"/>
  <c r="DG11" i="2"/>
  <c r="AL22" i="5" s="1"/>
  <c r="DF11" i="2"/>
  <c r="AK22" i="5" s="1"/>
  <c r="DL10" i="2"/>
  <c r="AQ21" i="5" s="1"/>
  <c r="DK10" i="2"/>
  <c r="AP21" i="5" s="1"/>
  <c r="DJ10" i="2"/>
  <c r="AO21" i="5" s="1"/>
  <c r="DI10" i="2"/>
  <c r="AN21" i="5" s="1"/>
  <c r="DH10" i="2"/>
  <c r="AM21" i="5" s="1"/>
  <c r="DG10" i="2"/>
  <c r="AL21" i="5" s="1"/>
  <c r="DF10" i="2"/>
  <c r="AK21" i="5" s="1"/>
  <c r="DM9" i="2"/>
  <c r="DM8" i="2"/>
  <c r="DM7" i="2"/>
  <c r="DL17" i="2"/>
  <c r="DK17" i="2"/>
  <c r="DJ17" i="2"/>
  <c r="DI14" i="2"/>
  <c r="DH17" i="2"/>
  <c r="DM4" i="2"/>
  <c r="DM3" i="2"/>
  <c r="DK132" i="2" l="1"/>
  <c r="DJ132" i="2"/>
  <c r="DM5" i="2"/>
  <c r="DH132" i="2"/>
  <c r="DL132" i="2"/>
  <c r="DM82" i="2"/>
  <c r="DF100" i="2"/>
  <c r="AK6" i="5" s="1"/>
  <c r="DK100" i="2"/>
  <c r="AP6" i="5" s="1"/>
  <c r="DJ120" i="2"/>
  <c r="DJ131" i="2"/>
  <c r="DJ111" i="2"/>
  <c r="DJ126" i="2" s="1"/>
  <c r="AO39" i="5" s="1"/>
  <c r="AO35" i="5"/>
  <c r="AO45" i="5" s="1"/>
  <c r="DG111" i="2"/>
  <c r="DG126" i="2" s="1"/>
  <c r="AL39" i="5" s="1"/>
  <c r="AL35" i="5"/>
  <c r="DK111" i="2"/>
  <c r="DK126" i="2" s="1"/>
  <c r="AP39" i="5" s="1"/>
  <c r="AP35" i="5"/>
  <c r="AP45" i="5" s="1"/>
  <c r="DK120" i="2"/>
  <c r="DK131" i="2"/>
  <c r="DF6" i="2"/>
  <c r="DF117" i="2"/>
  <c r="DF132" i="2" s="1"/>
  <c r="AK57" i="5"/>
  <c r="DF13" i="2"/>
  <c r="AK20" i="5" s="1"/>
  <c r="DF16" i="2"/>
  <c r="DH111" i="2"/>
  <c r="DH126" i="2" s="1"/>
  <c r="AM39" i="5" s="1"/>
  <c r="AM35" i="5"/>
  <c r="DL111" i="2"/>
  <c r="DL126" i="2" s="1"/>
  <c r="AQ39" i="5" s="1"/>
  <c r="AQ35" i="5"/>
  <c r="AQ45" i="5" s="1"/>
  <c r="DG123" i="2"/>
  <c r="DG99" i="2"/>
  <c r="DG101" i="2"/>
  <c r="AL7" i="5" s="1"/>
  <c r="DG100" i="2"/>
  <c r="AL6" i="5" s="1"/>
  <c r="DJ119" i="2"/>
  <c r="DJ130" i="2"/>
  <c r="DF111" i="2"/>
  <c r="DF126" i="2" s="1"/>
  <c r="AK39" i="5" s="1"/>
  <c r="AK35" i="5"/>
  <c r="DI123" i="2"/>
  <c r="DI101" i="2"/>
  <c r="AN7" i="5" s="1"/>
  <c r="DI111" i="2"/>
  <c r="DI126" i="2" s="1"/>
  <c r="AN39" i="5" s="1"/>
  <c r="AN35" i="5"/>
  <c r="DH101" i="2"/>
  <c r="AM7" i="5" s="1"/>
  <c r="DK121" i="2"/>
  <c r="DM85" i="2"/>
  <c r="AK18" i="5"/>
  <c r="DI132" i="2"/>
  <c r="DG121" i="2"/>
  <c r="DG128" i="2"/>
  <c r="DG132" i="2"/>
  <c r="DG120" i="2"/>
  <c r="DG131" i="2"/>
  <c r="DF120" i="2"/>
  <c r="DF131" i="2"/>
  <c r="DF119" i="2"/>
  <c r="DF125" i="2"/>
  <c r="DF130" i="2"/>
  <c r="AK47" i="5" s="1"/>
  <c r="DH100" i="2"/>
  <c r="AM6" i="5" s="1"/>
  <c r="DH121" i="2"/>
  <c r="DH128" i="2"/>
  <c r="DL100" i="2"/>
  <c r="AQ6" i="5" s="1"/>
  <c r="DL121" i="2"/>
  <c r="DH122" i="2"/>
  <c r="AM26" i="5" s="1"/>
  <c r="DL122" i="2"/>
  <c r="AQ26" i="5" s="1"/>
  <c r="DI100" i="2"/>
  <c r="AN6" i="5" s="1"/>
  <c r="DF101" i="2"/>
  <c r="AK7" i="5" s="1"/>
  <c r="DJ101" i="2"/>
  <c r="AO7" i="5" s="1"/>
  <c r="DG119" i="2"/>
  <c r="DK119" i="2"/>
  <c r="DH120" i="2"/>
  <c r="DL120" i="2"/>
  <c r="DI121" i="2"/>
  <c r="DF124" i="2"/>
  <c r="DG125" i="2"/>
  <c r="DI128" i="2"/>
  <c r="DF129" i="2"/>
  <c r="AK30" i="5" s="1"/>
  <c r="DG130" i="2"/>
  <c r="AL47" i="5" s="1"/>
  <c r="DK130" i="2"/>
  <c r="DH131" i="2"/>
  <c r="DL131" i="2"/>
  <c r="DI124" i="2"/>
  <c r="DI122" i="2"/>
  <c r="AN26" i="5" s="1"/>
  <c r="DJ100" i="2"/>
  <c r="AO6" i="5" s="1"/>
  <c r="DK101" i="2"/>
  <c r="AP7" i="5" s="1"/>
  <c r="DH119" i="2"/>
  <c r="DL119" i="2"/>
  <c r="DI120" i="2"/>
  <c r="DF121" i="2"/>
  <c r="DJ121" i="2"/>
  <c r="DG124" i="2"/>
  <c r="DH125" i="2"/>
  <c r="DF128" i="2"/>
  <c r="DG129" i="2"/>
  <c r="AL30" i="5" s="1"/>
  <c r="DH130" i="2"/>
  <c r="AM47" i="5" s="1"/>
  <c r="DL130" i="2"/>
  <c r="DI131" i="2"/>
  <c r="DL101" i="2"/>
  <c r="AQ7" i="5" s="1"/>
  <c r="DI119" i="2"/>
  <c r="DH124" i="2"/>
  <c r="DI125" i="2"/>
  <c r="DH129" i="2"/>
  <c r="AM30" i="5" s="1"/>
  <c r="DI130" i="2"/>
  <c r="AN47" i="5" s="1"/>
  <c r="DJ14" i="2"/>
  <c r="DI17" i="2"/>
  <c r="DH30" i="2"/>
  <c r="DL30" i="2"/>
  <c r="DG33" i="2"/>
  <c r="DK33" i="2"/>
  <c r="DF36" i="2"/>
  <c r="DF37" i="2" s="1"/>
  <c r="DJ36" i="2"/>
  <c r="DJ37" i="2" s="1"/>
  <c r="DH62" i="2"/>
  <c r="DL62" i="2"/>
  <c r="DF92" i="2"/>
  <c r="DF99" i="2" s="1"/>
  <c r="AK5" i="5" s="1"/>
  <c r="DJ92" i="2"/>
  <c r="DJ99" i="2" s="1"/>
  <c r="AO5" i="5" s="1"/>
  <c r="DH94" i="2"/>
  <c r="DH99" i="2" s="1"/>
  <c r="AM5" i="5" s="1"/>
  <c r="DL94" i="2"/>
  <c r="DL99" i="2" s="1"/>
  <c r="AQ5" i="5" s="1"/>
  <c r="DF122" i="2"/>
  <c r="AK26" i="5" s="1"/>
  <c r="DJ107" i="2"/>
  <c r="DJ122" i="2" s="1"/>
  <c r="AO26" i="5" s="1"/>
  <c r="DK14" i="2"/>
  <c r="DI30" i="2"/>
  <c r="DH33" i="2"/>
  <c r="DL33" i="2"/>
  <c r="DG36" i="2"/>
  <c r="DG37" i="2" s="1"/>
  <c r="DK36" i="2"/>
  <c r="DK37" i="2" s="1"/>
  <c r="DM58" i="2"/>
  <c r="DI62" i="2"/>
  <c r="DK92" i="2"/>
  <c r="DK99" i="2" s="1"/>
  <c r="DI94" i="2"/>
  <c r="DI99" i="2" s="1"/>
  <c r="AN5" i="5" s="1"/>
  <c r="DG107" i="2"/>
  <c r="DG122" i="2" s="1"/>
  <c r="AL26" i="5" s="1"/>
  <c r="DK107" i="2"/>
  <c r="DK122" i="2" s="1"/>
  <c r="AP26" i="5" s="1"/>
  <c r="DH14" i="2"/>
  <c r="DL14" i="2"/>
  <c r="DM22" i="2"/>
  <c r="DF30" i="2"/>
  <c r="DJ30" i="2"/>
  <c r="DI33" i="2"/>
  <c r="DH36" i="2"/>
  <c r="DH37" i="2" s="1"/>
  <c r="DL36" i="2"/>
  <c r="DL37" i="2" s="1"/>
  <c r="DF62" i="2"/>
  <c r="DJ62" i="2"/>
  <c r="DG63" i="2"/>
  <c r="DI36" i="2"/>
  <c r="DI37" i="2" s="1"/>
  <c r="DG62" i="2"/>
  <c r="DK62" i="2"/>
  <c r="DM69" i="2"/>
  <c r="AG48" i="5"/>
  <c r="AH48" i="5"/>
  <c r="AI48" i="5"/>
  <c r="AG43" i="5"/>
  <c r="AH43" i="5"/>
  <c r="AI43" i="5"/>
  <c r="AG44" i="5"/>
  <c r="AH44" i="5"/>
  <c r="AI44" i="5"/>
  <c r="AG31" i="5"/>
  <c r="AH31" i="5"/>
  <c r="AI31" i="5"/>
  <c r="AG32" i="5"/>
  <c r="AH32" i="5"/>
  <c r="AI32" i="5"/>
  <c r="AG33" i="5"/>
  <c r="AH33" i="5"/>
  <c r="AI33" i="5"/>
  <c r="AG34" i="5"/>
  <c r="AH34" i="5"/>
  <c r="AI34" i="5"/>
  <c r="AO4" i="5" l="1"/>
  <c r="AK45" i="5"/>
  <c r="AK49" i="5"/>
  <c r="DF17" i="2"/>
  <c r="DF14" i="2"/>
  <c r="AQ4" i="5"/>
  <c r="AL49" i="5"/>
  <c r="AL45" i="5"/>
  <c r="AN49" i="5"/>
  <c r="AN45" i="5"/>
  <c r="AN4" i="5"/>
  <c r="DK98" i="2"/>
  <c r="AP5" i="5"/>
  <c r="AP4" i="5" s="1"/>
  <c r="AM4" i="5"/>
  <c r="DG98" i="2"/>
  <c r="AM49" i="5"/>
  <c r="AM45" i="5"/>
  <c r="DM6" i="2"/>
  <c r="DH98" i="2"/>
  <c r="AL5" i="5"/>
  <c r="AL4" i="5" s="1"/>
  <c r="AK4" i="5"/>
  <c r="DF98" i="2"/>
  <c r="DJ98" i="2"/>
  <c r="DL98" i="2"/>
  <c r="DI98" i="2"/>
  <c r="DA85" i="2"/>
  <c r="DB85" i="2"/>
  <c r="DC85" i="2"/>
  <c r="DC82" i="2"/>
  <c r="DB82" i="2"/>
  <c r="DA82" i="2"/>
  <c r="DC80" i="2"/>
  <c r="DB80" i="2"/>
  <c r="DA80" i="2"/>
  <c r="DC58" i="2"/>
  <c r="DB58" i="2"/>
  <c r="DA58" i="2"/>
  <c r="DA22" i="2"/>
  <c r="DB22" i="2"/>
  <c r="DC22" i="2"/>
  <c r="DA6" i="2"/>
  <c r="DB6" i="2"/>
  <c r="DC6" i="2"/>
  <c r="AF43" i="5" l="1"/>
  <c r="AF44" i="5"/>
  <c r="AF48" i="5"/>
  <c r="CZ112" i="2"/>
  <c r="CZ113" i="2"/>
  <c r="CZ114" i="2"/>
  <c r="CZ115" i="2"/>
  <c r="CZ129" i="2" l="1"/>
  <c r="AF31" i="5"/>
  <c r="AF32" i="5"/>
  <c r="AF33" i="5"/>
  <c r="AF34" i="5"/>
  <c r="CZ85" i="2" l="1"/>
  <c r="CZ82" i="2"/>
  <c r="CZ80" i="2"/>
  <c r="CZ117" i="2" s="1"/>
  <c r="CZ58" i="2"/>
  <c r="CZ22" i="2"/>
  <c r="CZ6" i="2"/>
  <c r="CY58" i="2" l="1"/>
  <c r="AE48" i="5" l="1"/>
  <c r="AE43" i="5"/>
  <c r="AE44" i="5"/>
  <c r="AE31" i="5"/>
  <c r="AE32" i="5"/>
  <c r="AE33" i="5"/>
  <c r="AE34" i="5"/>
  <c r="CY85" i="2" l="1"/>
  <c r="CY80" i="2"/>
  <c r="CY82" i="2"/>
  <c r="CY22" i="2"/>
  <c r="CY6" i="2"/>
  <c r="N34" i="5" l="1"/>
  <c r="CX22" i="2"/>
  <c r="AD31" i="5"/>
  <c r="AD14" i="5"/>
  <c r="AD48" i="5" l="1"/>
  <c r="AD43" i="5"/>
  <c r="AD44" i="5"/>
  <c r="AD32" i="5"/>
  <c r="AD33" i="5"/>
  <c r="AD34" i="5"/>
  <c r="CX85" i="2"/>
  <c r="CX58" i="2"/>
  <c r="CX59" i="2"/>
  <c r="CL79" i="2" l="1"/>
  <c r="CL78" i="2"/>
  <c r="CL77" i="2"/>
  <c r="CL76" i="2"/>
  <c r="CL75" i="2"/>
  <c r="CU79" i="2"/>
  <c r="CU78" i="2"/>
  <c r="CU77" i="2"/>
  <c r="CU76" i="2"/>
  <c r="CU75" i="2"/>
  <c r="DD76" i="2" l="1"/>
  <c r="DD77" i="2"/>
  <c r="DD78" i="2"/>
  <c r="DD79" i="2"/>
  <c r="DD75" i="2"/>
  <c r="CW22" i="2"/>
  <c r="CW85" i="2" l="1"/>
  <c r="AC52" i="5" l="1"/>
  <c r="AC53" i="5"/>
  <c r="AC54" i="5"/>
  <c r="AC55" i="5"/>
  <c r="AC56" i="5"/>
  <c r="AC48" i="5"/>
  <c r="AC43" i="5"/>
  <c r="AC44" i="5"/>
  <c r="AC34" i="5"/>
  <c r="AC31" i="5"/>
  <c r="AC32" i="5"/>
  <c r="AC33" i="5"/>
  <c r="AI57" i="5"/>
  <c r="AH57" i="5"/>
  <c r="AG57" i="5"/>
  <c r="AF57" i="5"/>
  <c r="AE57" i="5"/>
  <c r="AD57" i="5"/>
  <c r="AI56" i="5"/>
  <c r="AH56" i="5"/>
  <c r="AG56" i="5"/>
  <c r="AF56" i="5"/>
  <c r="AE56" i="5"/>
  <c r="AD56" i="5"/>
  <c r="AI55" i="5"/>
  <c r="AH55" i="5"/>
  <c r="AG55" i="5"/>
  <c r="AF55" i="5"/>
  <c r="AE55" i="5"/>
  <c r="AD55" i="5"/>
  <c r="AI54" i="5"/>
  <c r="AH54" i="5"/>
  <c r="AG54" i="5"/>
  <c r="AF54" i="5"/>
  <c r="AE54" i="5"/>
  <c r="AD54" i="5"/>
  <c r="AI53" i="5"/>
  <c r="AH53" i="5"/>
  <c r="AG53" i="5"/>
  <c r="AF53" i="5"/>
  <c r="AE53" i="5"/>
  <c r="AD53" i="5"/>
  <c r="AI52" i="5"/>
  <c r="AH52" i="5"/>
  <c r="AG52" i="5"/>
  <c r="AF52" i="5"/>
  <c r="AE52" i="5"/>
  <c r="AD52" i="5"/>
  <c r="AI50" i="5"/>
  <c r="AH50" i="5"/>
  <c r="AG50" i="5"/>
  <c r="AF50" i="5"/>
  <c r="AE50" i="5"/>
  <c r="AD50" i="5"/>
  <c r="AC50" i="5"/>
  <c r="AI18" i="5"/>
  <c r="AH18" i="5"/>
  <c r="AG18" i="5"/>
  <c r="AF18" i="5"/>
  <c r="AE18" i="5"/>
  <c r="AD18" i="5"/>
  <c r="AC18" i="5"/>
  <c r="AI17" i="5"/>
  <c r="AH17" i="5"/>
  <c r="AG17" i="5"/>
  <c r="AF17" i="5"/>
  <c r="AE17" i="5"/>
  <c r="AD17" i="5"/>
  <c r="AC17" i="5"/>
  <c r="AI16" i="5"/>
  <c r="AH16" i="5"/>
  <c r="AG16" i="5"/>
  <c r="AF16" i="5"/>
  <c r="AE16" i="5"/>
  <c r="AD16" i="5"/>
  <c r="AC16" i="5"/>
  <c r="AI14" i="5"/>
  <c r="AH14" i="5"/>
  <c r="AG14" i="5"/>
  <c r="AF14" i="5"/>
  <c r="AE14" i="5"/>
  <c r="AI12" i="5"/>
  <c r="AH12" i="5"/>
  <c r="AG12" i="5"/>
  <c r="AF12" i="5"/>
  <c r="AE12" i="5"/>
  <c r="AD12" i="5"/>
  <c r="AC12" i="5"/>
  <c r="AI11" i="5"/>
  <c r="AH11" i="5"/>
  <c r="AG11" i="5"/>
  <c r="AF11" i="5"/>
  <c r="AE11" i="5"/>
  <c r="AD11" i="5"/>
  <c r="AC11" i="5"/>
  <c r="AI10" i="5"/>
  <c r="AH10" i="5"/>
  <c r="AG10" i="5"/>
  <c r="AF10" i="5"/>
  <c r="AE10" i="5"/>
  <c r="AD10" i="5"/>
  <c r="AC10" i="5"/>
  <c r="AI9" i="5"/>
  <c r="AH9" i="5"/>
  <c r="AG9" i="5"/>
  <c r="AF9" i="5"/>
  <c r="AE9" i="5"/>
  <c r="AD9" i="5"/>
  <c r="AC9" i="5"/>
  <c r="CW82" i="2"/>
  <c r="AC14" i="5" s="1"/>
  <c r="CW80" i="2"/>
  <c r="CW58" i="2"/>
  <c r="CW107" i="2" s="1"/>
  <c r="DC96" i="2"/>
  <c r="DB96" i="2"/>
  <c r="DA96" i="2"/>
  <c r="CZ96" i="2"/>
  <c r="CY96" i="2"/>
  <c r="CX96" i="2"/>
  <c r="CW96" i="2"/>
  <c r="DC95" i="2"/>
  <c r="DB95" i="2"/>
  <c r="DA95" i="2"/>
  <c r="CZ95" i="2"/>
  <c r="CY95" i="2"/>
  <c r="CX95" i="2"/>
  <c r="CW95" i="2"/>
  <c r="CZ94" i="2"/>
  <c r="DC93" i="2"/>
  <c r="DB93" i="2"/>
  <c r="DA93" i="2"/>
  <c r="CZ93" i="2"/>
  <c r="CX93" i="2"/>
  <c r="CW93" i="2"/>
  <c r="DC91" i="2"/>
  <c r="DB91" i="2"/>
  <c r="DA91" i="2"/>
  <c r="CZ91" i="2"/>
  <c r="CY91" i="2"/>
  <c r="CX91" i="2"/>
  <c r="CW91" i="2"/>
  <c r="DB117" i="2"/>
  <c r="CX117" i="2"/>
  <c r="DD73" i="2"/>
  <c r="DD72" i="2"/>
  <c r="DD71" i="2"/>
  <c r="DC69" i="2"/>
  <c r="DB69" i="2"/>
  <c r="DA69" i="2"/>
  <c r="CZ69" i="2"/>
  <c r="CY69" i="2"/>
  <c r="AE35" i="5" s="1"/>
  <c r="CX69" i="2"/>
  <c r="CW69" i="2"/>
  <c r="DD68" i="2"/>
  <c r="DD67" i="2"/>
  <c r="DD66" i="2"/>
  <c r="DD65" i="2"/>
  <c r="DC117" i="2"/>
  <c r="DA117" i="2"/>
  <c r="CY117" i="2"/>
  <c r="CW117" i="2"/>
  <c r="DC116" i="2"/>
  <c r="DB116" i="2"/>
  <c r="DA116" i="2"/>
  <c r="CZ116" i="2"/>
  <c r="CY116" i="2"/>
  <c r="CX116" i="2"/>
  <c r="CW116" i="2"/>
  <c r="DC115" i="2"/>
  <c r="DB115" i="2"/>
  <c r="DA115" i="2"/>
  <c r="CY115" i="2"/>
  <c r="CX115" i="2"/>
  <c r="CW115" i="2"/>
  <c r="DC114" i="2"/>
  <c r="DC129" i="2" s="1"/>
  <c r="AI30" i="5" s="1"/>
  <c r="DB114" i="2"/>
  <c r="DB129" i="2" s="1"/>
  <c r="AH30" i="5" s="1"/>
  <c r="DA114" i="2"/>
  <c r="DA129" i="2" s="1"/>
  <c r="AG30" i="5" s="1"/>
  <c r="CY114" i="2"/>
  <c r="CX114" i="2"/>
  <c r="CW114" i="2"/>
  <c r="DC113" i="2"/>
  <c r="DC128" i="2" s="1"/>
  <c r="DB113" i="2"/>
  <c r="DB128" i="2" s="1"/>
  <c r="DA113" i="2"/>
  <c r="DA128" i="2" s="1"/>
  <c r="CY113" i="2"/>
  <c r="CX113" i="2"/>
  <c r="CW113" i="2"/>
  <c r="DC112" i="2"/>
  <c r="DC127" i="2" s="1"/>
  <c r="AI40" i="5" s="1"/>
  <c r="DB112" i="2"/>
  <c r="DB127" i="2" s="1"/>
  <c r="AH40" i="5" s="1"/>
  <c r="DA112" i="2"/>
  <c r="DA127" i="2" s="1"/>
  <c r="AG40" i="5" s="1"/>
  <c r="CZ127" i="2"/>
  <c r="AF40" i="5" s="1"/>
  <c r="CY112" i="2"/>
  <c r="CY127" i="2" s="1"/>
  <c r="AE40" i="5" s="1"/>
  <c r="CX112" i="2"/>
  <c r="CX127" i="2" s="1"/>
  <c r="AD40" i="5" s="1"/>
  <c r="CW112" i="2"/>
  <c r="CW127" i="2" s="1"/>
  <c r="AC40" i="5" s="1"/>
  <c r="DC110" i="2"/>
  <c r="DC125" i="2" s="1"/>
  <c r="DB110" i="2"/>
  <c r="DB125" i="2" s="1"/>
  <c r="DA110" i="2"/>
  <c r="DA125" i="2" s="1"/>
  <c r="CZ110" i="2"/>
  <c r="CX110" i="2"/>
  <c r="CW110" i="2"/>
  <c r="DC109" i="2"/>
  <c r="DC124" i="2" s="1"/>
  <c r="DB109" i="2"/>
  <c r="DB124" i="2" s="1"/>
  <c r="DA109" i="2"/>
  <c r="DA124" i="2" s="1"/>
  <c r="CZ109" i="2"/>
  <c r="CY109" i="2"/>
  <c r="CX109" i="2"/>
  <c r="CW109" i="2"/>
  <c r="DB107" i="2"/>
  <c r="CZ107" i="2"/>
  <c r="DC106" i="2"/>
  <c r="DB106" i="2"/>
  <c r="DA106" i="2"/>
  <c r="CZ106" i="2"/>
  <c r="CY106" i="2"/>
  <c r="CX106" i="2"/>
  <c r="CW106" i="2"/>
  <c r="DC105" i="2"/>
  <c r="DB105" i="2"/>
  <c r="DA105" i="2"/>
  <c r="CZ105" i="2"/>
  <c r="CY105" i="2"/>
  <c r="CX105" i="2"/>
  <c r="CW105" i="2"/>
  <c r="DC104" i="2"/>
  <c r="DB104" i="2"/>
  <c r="DA104" i="2"/>
  <c r="CZ104" i="2"/>
  <c r="CY104" i="2"/>
  <c r="CX104" i="2"/>
  <c r="CW104" i="2"/>
  <c r="DC89" i="2"/>
  <c r="DB89" i="2"/>
  <c r="DA89" i="2"/>
  <c r="CZ89" i="2"/>
  <c r="CY89" i="2"/>
  <c r="CY123" i="2" s="1"/>
  <c r="CX89" i="2"/>
  <c r="CW89" i="2"/>
  <c r="CW123" i="2" s="1"/>
  <c r="CW88" i="2"/>
  <c r="DD86" i="2"/>
  <c r="DD85" i="2"/>
  <c r="DD84" i="2"/>
  <c r="DC63" i="2"/>
  <c r="DB63" i="2"/>
  <c r="DA63" i="2"/>
  <c r="CZ63" i="2"/>
  <c r="CY63" i="2"/>
  <c r="CX63" i="2"/>
  <c r="CW63" i="2"/>
  <c r="DB62" i="2"/>
  <c r="CZ62" i="2"/>
  <c r="DD61" i="2"/>
  <c r="DD60" i="2"/>
  <c r="DD59" i="2"/>
  <c r="DC94" i="2"/>
  <c r="DB94" i="2"/>
  <c r="DA94" i="2"/>
  <c r="CY94" i="2"/>
  <c r="CX107" i="2"/>
  <c r="DC55" i="2"/>
  <c r="DC56" i="2" s="1"/>
  <c r="DB55" i="2"/>
  <c r="DB56" i="2" s="1"/>
  <c r="DA55" i="2"/>
  <c r="DA56" i="2" s="1"/>
  <c r="CZ55" i="2"/>
  <c r="CZ56" i="2" s="1"/>
  <c r="CY55" i="2"/>
  <c r="CY56" i="2" s="1"/>
  <c r="CX55" i="2"/>
  <c r="CX56" i="2" s="1"/>
  <c r="CW55" i="2"/>
  <c r="CW56" i="2" s="1"/>
  <c r="DC54" i="2"/>
  <c r="AI38" i="5" s="1"/>
  <c r="DB54" i="2"/>
  <c r="AH38" i="5" s="1"/>
  <c r="DA54" i="2"/>
  <c r="AG38" i="5" s="1"/>
  <c r="CZ54" i="2"/>
  <c r="AF38" i="5" s="1"/>
  <c r="CX54" i="2"/>
  <c r="AD38" i="5" s="1"/>
  <c r="CW54" i="2"/>
  <c r="AC38" i="5" s="1"/>
  <c r="DC53" i="2"/>
  <c r="DB53" i="2"/>
  <c r="DA53" i="2"/>
  <c r="CZ53" i="2"/>
  <c r="CY53" i="2"/>
  <c r="CX53" i="2"/>
  <c r="CW53" i="2"/>
  <c r="DC52" i="2"/>
  <c r="AI37" i="5" s="1"/>
  <c r="DB52" i="2"/>
  <c r="AH37" i="5" s="1"/>
  <c r="DA52" i="2"/>
  <c r="AG37" i="5" s="1"/>
  <c r="CZ52" i="2"/>
  <c r="AF37" i="5" s="1"/>
  <c r="CY52" i="2"/>
  <c r="AE37" i="5" s="1"/>
  <c r="CX52" i="2"/>
  <c r="AD37" i="5" s="1"/>
  <c r="CW52" i="2"/>
  <c r="AC37" i="5" s="1"/>
  <c r="DC51" i="2"/>
  <c r="DB51" i="2"/>
  <c r="DA51" i="2"/>
  <c r="CZ51" i="2"/>
  <c r="CY51" i="2"/>
  <c r="CX51" i="2"/>
  <c r="CW51" i="2"/>
  <c r="DC50" i="2"/>
  <c r="AI41" i="5" s="1"/>
  <c r="DB50" i="2"/>
  <c r="AH41" i="5" s="1"/>
  <c r="DA50" i="2"/>
  <c r="AG41" i="5" s="1"/>
  <c r="CZ50" i="2"/>
  <c r="AF41" i="5" s="1"/>
  <c r="CY50" i="2"/>
  <c r="AE41" i="5" s="1"/>
  <c r="CX50" i="2"/>
  <c r="AD41" i="5" s="1"/>
  <c r="CW50" i="2"/>
  <c r="AC41" i="5" s="1"/>
  <c r="DC49" i="2"/>
  <c r="DB49" i="2"/>
  <c r="DA49" i="2"/>
  <c r="CZ49" i="2"/>
  <c r="CY49" i="2"/>
  <c r="CX49" i="2"/>
  <c r="CW49" i="2"/>
  <c r="DD46" i="2"/>
  <c r="DD45" i="2"/>
  <c r="DD44" i="2"/>
  <c r="DD43" i="2"/>
  <c r="DD42" i="2"/>
  <c r="DD41" i="2"/>
  <c r="CY93" i="2"/>
  <c r="DD40" i="2"/>
  <c r="DD39" i="2"/>
  <c r="DB36" i="2"/>
  <c r="DB37" i="2" s="1"/>
  <c r="CZ36" i="2"/>
  <c r="CZ37" i="2" s="1"/>
  <c r="CX36" i="2"/>
  <c r="CX37" i="2" s="1"/>
  <c r="DC35" i="2"/>
  <c r="DB35" i="2"/>
  <c r="DA35" i="2"/>
  <c r="CZ35" i="2"/>
  <c r="CY35" i="2"/>
  <c r="CX35" i="2"/>
  <c r="CW35" i="2"/>
  <c r="DC34" i="2"/>
  <c r="DB34" i="2"/>
  <c r="DA34" i="2"/>
  <c r="CZ34" i="2"/>
  <c r="CY34" i="2"/>
  <c r="CX34" i="2"/>
  <c r="CW34" i="2"/>
  <c r="DC32" i="2"/>
  <c r="DB32" i="2"/>
  <c r="DA32" i="2"/>
  <c r="CZ32" i="2"/>
  <c r="CY32" i="2"/>
  <c r="CX32" i="2"/>
  <c r="CW32" i="2"/>
  <c r="DC31" i="2"/>
  <c r="AI23" i="5" s="1"/>
  <c r="DB31" i="2"/>
  <c r="AH23" i="5" s="1"/>
  <c r="DA31" i="2"/>
  <c r="AG23" i="5" s="1"/>
  <c r="CZ31" i="2"/>
  <c r="AF23" i="5" s="1"/>
  <c r="CY31" i="2"/>
  <c r="AE23" i="5" s="1"/>
  <c r="CX31" i="2"/>
  <c r="AD23" i="5" s="1"/>
  <c r="CW31" i="2"/>
  <c r="AC23" i="5" s="1"/>
  <c r="DB30" i="2"/>
  <c r="CZ30" i="2"/>
  <c r="CX30" i="2"/>
  <c r="DC29" i="2"/>
  <c r="AI25" i="5" s="1"/>
  <c r="DB29" i="2"/>
  <c r="AH25" i="5" s="1"/>
  <c r="DA29" i="2"/>
  <c r="AG25" i="5" s="1"/>
  <c r="CZ29" i="2"/>
  <c r="AF25" i="5" s="1"/>
  <c r="CY29" i="2"/>
  <c r="AE25" i="5" s="1"/>
  <c r="CX29" i="2"/>
  <c r="AD25" i="5" s="1"/>
  <c r="CW29" i="2"/>
  <c r="AC25" i="5" s="1"/>
  <c r="DC28" i="2"/>
  <c r="AI24" i="5" s="1"/>
  <c r="DB28" i="2"/>
  <c r="AH24" i="5" s="1"/>
  <c r="DA28" i="2"/>
  <c r="AG24" i="5" s="1"/>
  <c r="CZ28" i="2"/>
  <c r="AF24" i="5" s="1"/>
  <c r="CY28" i="2"/>
  <c r="AE24" i="5" s="1"/>
  <c r="CX28" i="2"/>
  <c r="AD24" i="5" s="1"/>
  <c r="CW28" i="2"/>
  <c r="AC24" i="5" s="1"/>
  <c r="DD27" i="2"/>
  <c r="DD26" i="2"/>
  <c r="DD25" i="2"/>
  <c r="DD24" i="2"/>
  <c r="DD23" i="2"/>
  <c r="DC92" i="2"/>
  <c r="DB92" i="2"/>
  <c r="DA36" i="2"/>
  <c r="DA37" i="2" s="1"/>
  <c r="CZ92" i="2"/>
  <c r="CY92" i="2"/>
  <c r="CX92" i="2"/>
  <c r="CW36" i="2"/>
  <c r="CW37" i="2" s="1"/>
  <c r="DD21" i="2"/>
  <c r="DC18" i="2"/>
  <c r="DC19" i="2" s="1"/>
  <c r="DB18" i="2"/>
  <c r="DB19" i="2" s="1"/>
  <c r="DA18" i="2"/>
  <c r="DA19" i="2" s="1"/>
  <c r="CZ18" i="2"/>
  <c r="CZ19" i="2" s="1"/>
  <c r="CY18" i="2"/>
  <c r="CY19" i="2" s="1"/>
  <c r="CX18" i="2"/>
  <c r="CX19" i="2" s="1"/>
  <c r="CW18" i="2"/>
  <c r="CW19" i="2" s="1"/>
  <c r="DC17" i="2"/>
  <c r="DB17" i="2"/>
  <c r="DA17" i="2"/>
  <c r="CY17" i="2"/>
  <c r="CX17" i="2"/>
  <c r="CW17" i="2"/>
  <c r="DC16" i="2"/>
  <c r="DB16" i="2"/>
  <c r="DA16" i="2"/>
  <c r="CZ16" i="2"/>
  <c r="CY16" i="2"/>
  <c r="CX16" i="2"/>
  <c r="CW16" i="2"/>
  <c r="DC15" i="2"/>
  <c r="DB15" i="2"/>
  <c r="DA15" i="2"/>
  <c r="CZ15" i="2"/>
  <c r="CY15" i="2"/>
  <c r="CX15" i="2"/>
  <c r="CW15" i="2"/>
  <c r="DC14" i="2"/>
  <c r="DB14" i="2"/>
  <c r="DA14" i="2"/>
  <c r="CY14" i="2"/>
  <c r="CX14" i="2"/>
  <c r="CW14" i="2"/>
  <c r="DC13" i="2"/>
  <c r="AI20" i="5" s="1"/>
  <c r="DB13" i="2"/>
  <c r="AH20" i="5" s="1"/>
  <c r="DA13" i="2"/>
  <c r="AG20" i="5" s="1"/>
  <c r="CZ13" i="2"/>
  <c r="AF20" i="5" s="1"/>
  <c r="CY13" i="2"/>
  <c r="AE20" i="5" s="1"/>
  <c r="CX13" i="2"/>
  <c r="AD20" i="5" s="1"/>
  <c r="CW13" i="2"/>
  <c r="AC20" i="5" s="1"/>
  <c r="DC12" i="2"/>
  <c r="DB12" i="2"/>
  <c r="DA12" i="2"/>
  <c r="CZ12" i="2"/>
  <c r="CY12" i="2"/>
  <c r="CX12" i="2"/>
  <c r="CW12" i="2"/>
  <c r="DC11" i="2"/>
  <c r="AI22" i="5" s="1"/>
  <c r="DB11" i="2"/>
  <c r="AH22" i="5" s="1"/>
  <c r="DA11" i="2"/>
  <c r="AG22" i="5" s="1"/>
  <c r="CZ11" i="2"/>
  <c r="AF22" i="5" s="1"/>
  <c r="CY11" i="2"/>
  <c r="AE22" i="5" s="1"/>
  <c r="CX11" i="2"/>
  <c r="AD22" i="5" s="1"/>
  <c r="CW11" i="2"/>
  <c r="AC22" i="5" s="1"/>
  <c r="DC10" i="2"/>
  <c r="AI21" i="5" s="1"/>
  <c r="DB10" i="2"/>
  <c r="AH21" i="5" s="1"/>
  <c r="DA10" i="2"/>
  <c r="AG21" i="5" s="1"/>
  <c r="CZ10" i="2"/>
  <c r="AF21" i="5" s="1"/>
  <c r="CY10" i="2"/>
  <c r="AE21" i="5" s="1"/>
  <c r="CX10" i="2"/>
  <c r="AD21" i="5" s="1"/>
  <c r="CW10" i="2"/>
  <c r="AC21" i="5" s="1"/>
  <c r="DD9" i="2"/>
  <c r="DD8" i="2"/>
  <c r="DD7" i="2"/>
  <c r="CZ17" i="2"/>
  <c r="DD5" i="2"/>
  <c r="DD4" i="2"/>
  <c r="DD3" i="2"/>
  <c r="CY100" i="2" l="1"/>
  <c r="AE6" i="5" s="1"/>
  <c r="DC100" i="2"/>
  <c r="AI6" i="5" s="1"/>
  <c r="CZ101" i="2"/>
  <c r="AF7" i="5" s="1"/>
  <c r="DD82" i="2"/>
  <c r="CY111" i="2"/>
  <c r="CY126" i="2" s="1"/>
  <c r="AE39" i="5" s="1"/>
  <c r="DB99" i="2"/>
  <c r="AH5" i="5" s="1"/>
  <c r="CX111" i="2"/>
  <c r="CX126" i="2" s="1"/>
  <c r="AD39" i="5" s="1"/>
  <c r="AD35" i="5"/>
  <c r="AC57" i="5"/>
  <c r="DD80" i="2"/>
  <c r="AE49" i="5"/>
  <c r="AE45" i="5"/>
  <c r="CX132" i="2"/>
  <c r="CX101" i="2"/>
  <c r="AD7" i="5" s="1"/>
  <c r="CZ111" i="2"/>
  <c r="CZ126" i="2" s="1"/>
  <c r="AF39" i="5" s="1"/>
  <c r="AF35" i="5"/>
  <c r="CX100" i="2"/>
  <c r="AD6" i="5" s="1"/>
  <c r="DC111" i="2"/>
  <c r="DC126" i="2" s="1"/>
  <c r="AI39" i="5" s="1"/>
  <c r="AI35" i="5"/>
  <c r="DB111" i="2"/>
  <c r="DB126" i="2" s="1"/>
  <c r="AH39" i="5" s="1"/>
  <c r="AH35" i="5"/>
  <c r="DA111" i="2"/>
  <c r="DA126" i="2" s="1"/>
  <c r="AG39" i="5" s="1"/>
  <c r="AG35" i="5"/>
  <c r="DC123" i="2"/>
  <c r="DC99" i="2"/>
  <c r="AI5" i="5" s="1"/>
  <c r="DC101" i="2"/>
  <c r="AI7" i="5" s="1"/>
  <c r="DB101" i="2"/>
  <c r="AH7" i="5" s="1"/>
  <c r="DB100" i="2"/>
  <c r="DA101" i="2"/>
  <c r="AG7" i="5" s="1"/>
  <c r="DA100" i="2"/>
  <c r="AG6" i="5" s="1"/>
  <c r="DA123" i="2"/>
  <c r="CZ100" i="2"/>
  <c r="AF6" i="5" s="1"/>
  <c r="CZ123" i="2"/>
  <c r="CZ99" i="2"/>
  <c r="AF5" i="5" s="1"/>
  <c r="CY99" i="2"/>
  <c r="AE5" i="5" s="1"/>
  <c r="CY101" i="2"/>
  <c r="AE7" i="5" s="1"/>
  <c r="CX130" i="2"/>
  <c r="AD47" i="5" s="1"/>
  <c r="DB130" i="2"/>
  <c r="AH47" i="5" s="1"/>
  <c r="CW120" i="2"/>
  <c r="DA120" i="2"/>
  <c r="DD69" i="2"/>
  <c r="DB122" i="2"/>
  <c r="AH26" i="5" s="1"/>
  <c r="CW125" i="2"/>
  <c r="CX129" i="2"/>
  <c r="AD30" i="5" s="1"/>
  <c r="CW62" i="2"/>
  <c r="CW94" i="2"/>
  <c r="CZ119" i="2"/>
  <c r="CW128" i="2"/>
  <c r="CW132" i="2"/>
  <c r="AC35" i="5"/>
  <c r="AC49" i="5" s="1"/>
  <c r="CW119" i="2"/>
  <c r="CW124" i="2"/>
  <c r="CW131" i="2"/>
  <c r="CW129" i="2"/>
  <c r="AC30" i="5" s="1"/>
  <c r="CW101" i="2"/>
  <c r="AC7" i="5" s="1"/>
  <c r="CW122" i="2"/>
  <c r="AC26" i="5" s="1"/>
  <c r="CW130" i="2"/>
  <c r="AC47" i="5" s="1"/>
  <c r="CW100" i="2"/>
  <c r="AC6" i="5" s="1"/>
  <c r="CW121" i="2"/>
  <c r="CW111" i="2"/>
  <c r="CX122" i="2"/>
  <c r="AD26" i="5" s="1"/>
  <c r="CX120" i="2"/>
  <c r="DB120" i="2"/>
  <c r="CX128" i="2"/>
  <c r="CX119" i="2"/>
  <c r="DB119" i="2"/>
  <c r="DC120" i="2"/>
  <c r="CX124" i="2"/>
  <c r="CX131" i="2"/>
  <c r="DB131" i="2"/>
  <c r="CY120" i="2"/>
  <c r="CZ121" i="2"/>
  <c r="CZ125" i="2"/>
  <c r="CY128" i="2"/>
  <c r="AF30" i="5"/>
  <c r="DA130" i="2"/>
  <c r="AG47" i="5" s="1"/>
  <c r="CZ128" i="2"/>
  <c r="DC131" i="2"/>
  <c r="CY119" i="2"/>
  <c r="DC119" i="2"/>
  <c r="CZ120" i="2"/>
  <c r="DA121" i="2"/>
  <c r="CZ122" i="2"/>
  <c r="AF26" i="5" s="1"/>
  <c r="CY124" i="2"/>
  <c r="DA132" i="2"/>
  <c r="CZ132" i="2"/>
  <c r="DB132" i="2"/>
  <c r="CZ124" i="2"/>
  <c r="CY130" i="2"/>
  <c r="AE47" i="5" s="1"/>
  <c r="DC130" i="2"/>
  <c r="AI47" i="5" s="1"/>
  <c r="CZ131" i="2"/>
  <c r="DC132" i="2"/>
  <c r="DA119" i="2"/>
  <c r="CY121" i="2"/>
  <c r="DC121" i="2"/>
  <c r="CY129" i="2"/>
  <c r="AE30" i="5" s="1"/>
  <c r="CZ130" i="2"/>
  <c r="AF47" i="5" s="1"/>
  <c r="DA131" i="2"/>
  <c r="CY132" i="2"/>
  <c r="CY131" i="2"/>
  <c r="DA33" i="2"/>
  <c r="DD22" i="2"/>
  <c r="CW30" i="2"/>
  <c r="DA30" i="2"/>
  <c r="CZ33" i="2"/>
  <c r="CY36" i="2"/>
  <c r="CY37" i="2" s="1"/>
  <c r="DC36" i="2"/>
  <c r="DC37" i="2" s="1"/>
  <c r="CY62" i="2"/>
  <c r="DC62" i="2"/>
  <c r="CW87" i="2"/>
  <c r="CY107" i="2"/>
  <c r="CY122" i="2" s="1"/>
  <c r="AE26" i="5" s="1"/>
  <c r="DC107" i="2"/>
  <c r="DC122" i="2" s="1"/>
  <c r="AI26" i="5" s="1"/>
  <c r="CX94" i="2"/>
  <c r="CX99" i="2" s="1"/>
  <c r="CX123" i="2"/>
  <c r="DB123" i="2"/>
  <c r="CW92" i="2"/>
  <c r="DA92" i="2"/>
  <c r="DA99" i="2" s="1"/>
  <c r="AG5" i="5" s="1"/>
  <c r="CZ14" i="2"/>
  <c r="CW33" i="2"/>
  <c r="DD6" i="2"/>
  <c r="CY30" i="2"/>
  <c r="DC30" i="2"/>
  <c r="CX33" i="2"/>
  <c r="DB33" i="2"/>
  <c r="CY54" i="2"/>
  <c r="AE38" i="5" s="1"/>
  <c r="DD58" i="2"/>
  <c r="DA62" i="2"/>
  <c r="DA107" i="2"/>
  <c r="DA122" i="2" s="1"/>
  <c r="AG26" i="5" s="1"/>
  <c r="CY110" i="2"/>
  <c r="CY125" i="2" s="1"/>
  <c r="CY33" i="2"/>
  <c r="DC33" i="2"/>
  <c r="CX62" i="2"/>
  <c r="CX121" i="2"/>
  <c r="DB121" i="2"/>
  <c r="CX125" i="2"/>
  <c r="AG4" i="5" l="1"/>
  <c r="AI4" i="5"/>
  <c r="CX98" i="2"/>
  <c r="AD5" i="5"/>
  <c r="AD4" i="5" s="1"/>
  <c r="DB98" i="2"/>
  <c r="AH6" i="5"/>
  <c r="AH4" i="5" s="1"/>
  <c r="AF45" i="5"/>
  <c r="AF49" i="5"/>
  <c r="AD49" i="5"/>
  <c r="AD45" i="5"/>
  <c r="AE4" i="5"/>
  <c r="AH49" i="5"/>
  <c r="AH45" i="5"/>
  <c r="AG45" i="5"/>
  <c r="AG49" i="5"/>
  <c r="AI45" i="5"/>
  <c r="AI49" i="5"/>
  <c r="DC98" i="2"/>
  <c r="DA98" i="2"/>
  <c r="AF4" i="5"/>
  <c r="CZ98" i="2"/>
  <c r="CY98" i="2"/>
  <c r="AC45" i="5"/>
  <c r="CW99" i="2"/>
  <c r="AC5" i="5" s="1"/>
  <c r="AC4" i="5" s="1"/>
  <c r="CW126" i="2"/>
  <c r="AC39" i="5" s="1"/>
  <c r="Z44" i="5"/>
  <c r="AA44" i="5"/>
  <c r="CS115" i="2"/>
  <c r="CW98" i="2" l="1"/>
  <c r="Y9" i="5"/>
  <c r="Z9" i="5"/>
  <c r="AA9" i="5"/>
  <c r="Y10" i="5"/>
  <c r="Z10" i="5"/>
  <c r="AA10" i="5"/>
  <c r="Y11" i="5"/>
  <c r="Z11" i="5"/>
  <c r="AA11" i="5"/>
  <c r="Y12" i="5"/>
  <c r="Z12" i="5"/>
  <c r="AA12" i="5"/>
  <c r="Y16" i="5"/>
  <c r="Z16" i="5"/>
  <c r="AA16" i="5"/>
  <c r="Y17" i="5"/>
  <c r="Z17" i="5"/>
  <c r="AA17" i="5"/>
  <c r="Y31" i="5"/>
  <c r="Z31" i="5"/>
  <c r="AA31" i="5"/>
  <c r="Y43" i="5"/>
  <c r="Z43" i="5"/>
  <c r="AA43" i="5"/>
  <c r="Y44" i="5"/>
  <c r="Y48" i="5"/>
  <c r="Z48" i="5"/>
  <c r="AA48" i="5"/>
  <c r="Y52" i="5"/>
  <c r="Z52" i="5"/>
  <c r="AA52" i="5"/>
  <c r="Y53" i="5"/>
  <c r="Z53" i="5"/>
  <c r="AA53" i="5"/>
  <c r="Y54" i="5"/>
  <c r="Z54" i="5"/>
  <c r="AA54" i="5"/>
  <c r="Y55" i="5"/>
  <c r="Z55" i="5"/>
  <c r="AA55" i="5"/>
  <c r="Y56" i="5"/>
  <c r="Z56" i="5"/>
  <c r="AA56" i="5"/>
  <c r="CS85" i="2"/>
  <c r="Z18" i="5" s="1"/>
  <c r="CT85" i="2"/>
  <c r="AA18" i="5" s="1"/>
  <c r="CR85" i="2"/>
  <c r="Y18" i="5" s="1"/>
  <c r="CR112" i="2"/>
  <c r="CS112" i="2"/>
  <c r="CT112" i="2"/>
  <c r="CR114" i="2"/>
  <c r="CS114" i="2"/>
  <c r="CT114" i="2"/>
  <c r="CR115" i="2"/>
  <c r="CT115" i="2"/>
  <c r="CR116" i="2"/>
  <c r="CS116" i="2"/>
  <c r="CT116" i="2"/>
  <c r="CR69" i="2"/>
  <c r="CR111" i="2" s="1"/>
  <c r="CS69" i="2"/>
  <c r="CS111" i="2" s="1"/>
  <c r="CT69" i="2"/>
  <c r="CT111" i="2" s="1"/>
  <c r="CT80" i="2"/>
  <c r="CT117" i="2" s="1"/>
  <c r="CS80" i="2"/>
  <c r="Z57" i="5" s="1"/>
  <c r="CR80" i="2"/>
  <c r="Y57" i="5" s="1"/>
  <c r="CT82" i="2"/>
  <c r="AA14" i="5" s="1"/>
  <c r="CS82" i="2"/>
  <c r="Z14" i="5" s="1"/>
  <c r="CR82" i="2"/>
  <c r="Y14" i="5" s="1"/>
  <c r="CT58" i="2"/>
  <c r="CS58" i="2"/>
  <c r="CR58" i="2"/>
  <c r="CR22" i="2"/>
  <c r="CS22" i="2"/>
  <c r="CT22" i="2"/>
  <c r="AA57" i="5" l="1"/>
  <c r="CS117" i="2"/>
  <c r="CR117" i="2"/>
  <c r="CQ107" i="2" l="1"/>
  <c r="CQ49" i="2" l="1"/>
  <c r="X31" i="5" l="1"/>
  <c r="X43" i="5"/>
  <c r="X44" i="5"/>
  <c r="X48" i="5"/>
  <c r="X52" i="5"/>
  <c r="X53" i="5"/>
  <c r="X54" i="5"/>
  <c r="X55" i="5"/>
  <c r="X56" i="5"/>
  <c r="CQ80" i="2"/>
  <c r="X57" i="5" s="1"/>
  <c r="CQ82" i="2"/>
  <c r="CQ22" i="2"/>
  <c r="W31" i="5" l="1"/>
  <c r="W52" i="5"/>
  <c r="W53" i="5"/>
  <c r="W54" i="5"/>
  <c r="W55" i="5"/>
  <c r="W56" i="5"/>
  <c r="W48" i="5"/>
  <c r="W43" i="5"/>
  <c r="W44" i="5"/>
  <c r="CP80" i="2" l="1"/>
  <c r="W57" i="5" s="1"/>
  <c r="CP82" i="2"/>
  <c r="CP58" i="2"/>
  <c r="CP41" i="2"/>
  <c r="CP22" i="2"/>
  <c r="Y35" i="5" l="1"/>
  <c r="Z35" i="5"/>
  <c r="AA35" i="5"/>
  <c r="Y45" i="5" l="1"/>
  <c r="Y49" i="5"/>
  <c r="AA45" i="5"/>
  <c r="AA49" i="5"/>
  <c r="Z45" i="5"/>
  <c r="Z49" i="5"/>
  <c r="CO85" i="2"/>
  <c r="CN85" i="2"/>
  <c r="CI85" i="2"/>
  <c r="CJ85" i="2"/>
  <c r="CK85" i="2"/>
  <c r="CO80" i="2" l="1"/>
  <c r="CU80" i="2" s="1"/>
  <c r="CO82" i="2"/>
  <c r="CO58" i="2"/>
  <c r="CO22" i="2"/>
  <c r="U57" i="5"/>
  <c r="V56" i="5"/>
  <c r="U56" i="5"/>
  <c r="V55" i="5"/>
  <c r="U55" i="5"/>
  <c r="V54" i="5"/>
  <c r="U54" i="5"/>
  <c r="V53" i="5"/>
  <c r="U53" i="5"/>
  <c r="V52" i="5"/>
  <c r="U52" i="5"/>
  <c r="AA50" i="5"/>
  <c r="Z50" i="5"/>
  <c r="Y50" i="5"/>
  <c r="X50" i="5"/>
  <c r="W50" i="5"/>
  <c r="V50" i="5"/>
  <c r="U50" i="5"/>
  <c r="V48" i="5"/>
  <c r="U48" i="5"/>
  <c r="V44" i="5"/>
  <c r="U44" i="5"/>
  <c r="V43" i="5"/>
  <c r="U43" i="5"/>
  <c r="AA34" i="5"/>
  <c r="Z34" i="5"/>
  <c r="Y34" i="5"/>
  <c r="X34" i="5"/>
  <c r="W34" i="5"/>
  <c r="V34" i="5"/>
  <c r="U34" i="5"/>
  <c r="AA33" i="5"/>
  <c r="Z33" i="5"/>
  <c r="Y33" i="5"/>
  <c r="X33" i="5"/>
  <c r="W33" i="5"/>
  <c r="V33" i="5"/>
  <c r="U33" i="5"/>
  <c r="AA32" i="5"/>
  <c r="Z32" i="5"/>
  <c r="Y32" i="5"/>
  <c r="X32" i="5"/>
  <c r="W32" i="5"/>
  <c r="V32" i="5"/>
  <c r="U32" i="5"/>
  <c r="V31" i="5"/>
  <c r="U31" i="5"/>
  <c r="X18" i="5"/>
  <c r="W18" i="5"/>
  <c r="V18" i="5"/>
  <c r="U18" i="5"/>
  <c r="X17" i="5"/>
  <c r="W17" i="5"/>
  <c r="V17" i="5"/>
  <c r="U17" i="5"/>
  <c r="X16" i="5"/>
  <c r="W16" i="5"/>
  <c r="V16" i="5"/>
  <c r="U16" i="5"/>
  <c r="X14" i="5"/>
  <c r="W14" i="5"/>
  <c r="V14" i="5"/>
  <c r="X12" i="5"/>
  <c r="W12" i="5"/>
  <c r="V12" i="5"/>
  <c r="U12" i="5"/>
  <c r="X11" i="5"/>
  <c r="W11" i="5"/>
  <c r="V11" i="5"/>
  <c r="U11" i="5"/>
  <c r="X10" i="5"/>
  <c r="W10" i="5"/>
  <c r="V10" i="5"/>
  <c r="U10" i="5"/>
  <c r="X9" i="5"/>
  <c r="W9" i="5"/>
  <c r="V9" i="5"/>
  <c r="U9" i="5"/>
  <c r="V57" i="5" l="1"/>
  <c r="CN22" i="2"/>
  <c r="CI22" i="2"/>
  <c r="CJ22" i="2"/>
  <c r="CK22" i="2"/>
  <c r="CI89" i="2" l="1"/>
  <c r="CN82" i="2" l="1"/>
  <c r="U14" i="5" s="1"/>
  <c r="CK82" i="2"/>
  <c r="CJ82" i="2"/>
  <c r="CI82" i="2"/>
  <c r="Q12" i="5"/>
  <c r="R12" i="5"/>
  <c r="S12" i="5"/>
  <c r="Q11" i="5"/>
  <c r="R11" i="5"/>
  <c r="S11" i="5"/>
  <c r="Q10" i="5"/>
  <c r="R10" i="5"/>
  <c r="S10" i="5"/>
  <c r="Q9" i="5"/>
  <c r="R9" i="5"/>
  <c r="S9" i="5"/>
  <c r="CT96" i="2" l="1"/>
  <c r="CS96" i="2"/>
  <c r="CR96" i="2"/>
  <c r="CQ96" i="2"/>
  <c r="CP96" i="2"/>
  <c r="CO96" i="2"/>
  <c r="CN96" i="2"/>
  <c r="CT95" i="2"/>
  <c r="CS95" i="2"/>
  <c r="CR95" i="2"/>
  <c r="CQ95" i="2"/>
  <c r="CP95" i="2"/>
  <c r="CO95" i="2"/>
  <c r="CN95" i="2"/>
  <c r="CT94" i="2"/>
  <c r="CS94" i="2"/>
  <c r="CR94" i="2"/>
  <c r="CT93" i="2"/>
  <c r="CS93" i="2"/>
  <c r="CR93" i="2"/>
  <c r="CQ93" i="2"/>
  <c r="CP93" i="2"/>
  <c r="CO93" i="2"/>
  <c r="CN93" i="2"/>
  <c r="CT92" i="2"/>
  <c r="CS92" i="2"/>
  <c r="CR92" i="2"/>
  <c r="CT91" i="2"/>
  <c r="CS91" i="2"/>
  <c r="CR91" i="2"/>
  <c r="CQ91" i="2"/>
  <c r="CP91" i="2"/>
  <c r="CO91" i="2"/>
  <c r="CN91" i="2"/>
  <c r="CU73" i="2"/>
  <c r="CU72" i="2"/>
  <c r="CU71" i="2"/>
  <c r="CQ69" i="2"/>
  <c r="CP69" i="2"/>
  <c r="CO69" i="2"/>
  <c r="V35" i="5" s="1"/>
  <c r="CN69" i="2"/>
  <c r="U35" i="5" s="1"/>
  <c r="CU68" i="2"/>
  <c r="CU67" i="2"/>
  <c r="CU66" i="2"/>
  <c r="CU65" i="2"/>
  <c r="CQ117" i="2"/>
  <c r="CP117" i="2"/>
  <c r="CO117" i="2"/>
  <c r="CN117" i="2"/>
  <c r="CQ116" i="2"/>
  <c r="CP116" i="2"/>
  <c r="CO116" i="2"/>
  <c r="CN116" i="2"/>
  <c r="CQ115" i="2"/>
  <c r="CP115" i="2"/>
  <c r="CO115" i="2"/>
  <c r="CN115" i="2"/>
  <c r="CQ114" i="2"/>
  <c r="CP114" i="2"/>
  <c r="CO114" i="2"/>
  <c r="CN114" i="2"/>
  <c r="CT113" i="2"/>
  <c r="CS113" i="2"/>
  <c r="CR113" i="2"/>
  <c r="CQ113" i="2"/>
  <c r="CP113" i="2"/>
  <c r="CO113" i="2"/>
  <c r="CN113" i="2"/>
  <c r="CQ112" i="2"/>
  <c r="CQ127" i="2" s="1"/>
  <c r="X40" i="5" s="1"/>
  <c r="CP112" i="2"/>
  <c r="CP127" i="2" s="1"/>
  <c r="W40" i="5" s="1"/>
  <c r="CO112" i="2"/>
  <c r="CO127" i="2" s="1"/>
  <c r="V40" i="5" s="1"/>
  <c r="CN112" i="2"/>
  <c r="CN127" i="2" s="1"/>
  <c r="CN111" i="2"/>
  <c r="CT110" i="2"/>
  <c r="CS110" i="2"/>
  <c r="CR110" i="2"/>
  <c r="CQ110" i="2"/>
  <c r="CP110" i="2"/>
  <c r="CO110" i="2"/>
  <c r="CN110" i="2"/>
  <c r="CT109" i="2"/>
  <c r="CS109" i="2"/>
  <c r="CR109" i="2"/>
  <c r="CQ109" i="2"/>
  <c r="CP109" i="2"/>
  <c r="CO109" i="2"/>
  <c r="CN109" i="2"/>
  <c r="CT107" i="2"/>
  <c r="CS107" i="2"/>
  <c r="CR107" i="2"/>
  <c r="CT106" i="2"/>
  <c r="CS106" i="2"/>
  <c r="CR106" i="2"/>
  <c r="CQ106" i="2"/>
  <c r="CP106" i="2"/>
  <c r="CO106" i="2"/>
  <c r="CN106" i="2"/>
  <c r="CT105" i="2"/>
  <c r="CS105" i="2"/>
  <c r="CR105" i="2"/>
  <c r="CQ105" i="2"/>
  <c r="CP105" i="2"/>
  <c r="CO105" i="2"/>
  <c r="CN105" i="2"/>
  <c r="CT104" i="2"/>
  <c r="CS104" i="2"/>
  <c r="CR104" i="2"/>
  <c r="CQ104" i="2"/>
  <c r="CP104" i="2"/>
  <c r="CO104" i="2"/>
  <c r="CN104" i="2"/>
  <c r="CT89" i="2"/>
  <c r="CS89" i="2"/>
  <c r="CR89" i="2"/>
  <c r="CQ89" i="2"/>
  <c r="CP89" i="2"/>
  <c r="CO89" i="2"/>
  <c r="CN89" i="2"/>
  <c r="CN88" i="2"/>
  <c r="CN87" i="2"/>
  <c r="CU86" i="2"/>
  <c r="CU85" i="2"/>
  <c r="CU84" i="2"/>
  <c r="CU82" i="2"/>
  <c r="CT63" i="2"/>
  <c r="CS63" i="2"/>
  <c r="CR63" i="2"/>
  <c r="CQ63" i="2"/>
  <c r="CP63" i="2"/>
  <c r="CO63" i="2"/>
  <c r="CN63" i="2"/>
  <c r="CT62" i="2"/>
  <c r="CS62" i="2"/>
  <c r="CR62" i="2"/>
  <c r="CU61" i="2"/>
  <c r="CU60" i="2"/>
  <c r="CU59" i="2"/>
  <c r="CQ94" i="2"/>
  <c r="CP94" i="2"/>
  <c r="CO94" i="2"/>
  <c r="CN94" i="2"/>
  <c r="CT55" i="2"/>
  <c r="CT56" i="2" s="1"/>
  <c r="CS55" i="2"/>
  <c r="CS56" i="2" s="1"/>
  <c r="CR55" i="2"/>
  <c r="CR56" i="2" s="1"/>
  <c r="CQ55" i="2"/>
  <c r="CQ56" i="2" s="1"/>
  <c r="CP55" i="2"/>
  <c r="CP56" i="2" s="1"/>
  <c r="CO55" i="2"/>
  <c r="CO56" i="2" s="1"/>
  <c r="CN55" i="2"/>
  <c r="CN56" i="2" s="1"/>
  <c r="CT54" i="2"/>
  <c r="CS54" i="2"/>
  <c r="CR54" i="2"/>
  <c r="Y38" i="5" s="1"/>
  <c r="CQ54" i="2"/>
  <c r="X38" i="5" s="1"/>
  <c r="CP54" i="2"/>
  <c r="W38" i="5" s="1"/>
  <c r="CO54" i="2"/>
  <c r="V38" i="5" s="1"/>
  <c r="CN54" i="2"/>
  <c r="CT53" i="2"/>
  <c r="CS53" i="2"/>
  <c r="CR53" i="2"/>
  <c r="CQ53" i="2"/>
  <c r="CP53" i="2"/>
  <c r="CO53" i="2"/>
  <c r="CN53" i="2"/>
  <c r="CT52" i="2"/>
  <c r="CS52" i="2"/>
  <c r="CR52" i="2"/>
  <c r="Y37" i="5" s="1"/>
  <c r="CQ52" i="2"/>
  <c r="X37" i="5" s="1"/>
  <c r="CP52" i="2"/>
  <c r="W37" i="5" s="1"/>
  <c r="CO52" i="2"/>
  <c r="V37" i="5" s="1"/>
  <c r="CN52" i="2"/>
  <c r="CT51" i="2"/>
  <c r="CS51" i="2"/>
  <c r="CR51" i="2"/>
  <c r="CQ51" i="2"/>
  <c r="CP51" i="2"/>
  <c r="CO51" i="2"/>
  <c r="CN51" i="2"/>
  <c r="CT50" i="2"/>
  <c r="CS50" i="2"/>
  <c r="CR50" i="2"/>
  <c r="Y41" i="5" s="1"/>
  <c r="CQ50" i="2"/>
  <c r="X41" i="5" s="1"/>
  <c r="CP50" i="2"/>
  <c r="W41" i="5" s="1"/>
  <c r="CO50" i="2"/>
  <c r="V41" i="5" s="1"/>
  <c r="CN50" i="2"/>
  <c r="CT49" i="2"/>
  <c r="CS49" i="2"/>
  <c r="CR49" i="2"/>
  <c r="CP49" i="2"/>
  <c r="CO49" i="2"/>
  <c r="CN49" i="2"/>
  <c r="CU46" i="2"/>
  <c r="CU45" i="2"/>
  <c r="CU44" i="2"/>
  <c r="CU43" i="2"/>
  <c r="CU42" i="2"/>
  <c r="CU41" i="2"/>
  <c r="CU40" i="2"/>
  <c r="CU39" i="2"/>
  <c r="CT36" i="2"/>
  <c r="CT37" i="2" s="1"/>
  <c r="CS36" i="2"/>
  <c r="CS37" i="2" s="1"/>
  <c r="CR36" i="2"/>
  <c r="CR37" i="2" s="1"/>
  <c r="CQ36" i="2"/>
  <c r="CQ37" i="2" s="1"/>
  <c r="CT35" i="2"/>
  <c r="CS35" i="2"/>
  <c r="CR35" i="2"/>
  <c r="CQ35" i="2"/>
  <c r="CP35" i="2"/>
  <c r="CO35" i="2"/>
  <c r="CN35" i="2"/>
  <c r="CT34" i="2"/>
  <c r="CS34" i="2"/>
  <c r="CR34" i="2"/>
  <c r="CQ34" i="2"/>
  <c r="CP34" i="2"/>
  <c r="CO34" i="2"/>
  <c r="CN34" i="2"/>
  <c r="CT33" i="2"/>
  <c r="CS33" i="2"/>
  <c r="CR33" i="2"/>
  <c r="CN33" i="2"/>
  <c r="CT32" i="2"/>
  <c r="CS32" i="2"/>
  <c r="CR32" i="2"/>
  <c r="CQ32" i="2"/>
  <c r="CP32" i="2"/>
  <c r="CO32" i="2"/>
  <c r="CN32" i="2"/>
  <c r="CT31" i="2"/>
  <c r="CS31" i="2"/>
  <c r="Z23" i="5" s="1"/>
  <c r="CR31" i="2"/>
  <c r="Y23" i="5" s="1"/>
  <c r="CQ31" i="2"/>
  <c r="X23" i="5" s="1"/>
  <c r="CP31" i="2"/>
  <c r="W23" i="5" s="1"/>
  <c r="CO31" i="2"/>
  <c r="V23" i="5" s="1"/>
  <c r="CN31" i="2"/>
  <c r="CT30" i="2"/>
  <c r="CS30" i="2"/>
  <c r="CR30" i="2"/>
  <c r="CT29" i="2"/>
  <c r="CS29" i="2"/>
  <c r="Z25" i="5" s="1"/>
  <c r="CR29" i="2"/>
  <c r="Y25" i="5" s="1"/>
  <c r="CQ29" i="2"/>
  <c r="X25" i="5" s="1"/>
  <c r="CP29" i="2"/>
  <c r="W25" i="5" s="1"/>
  <c r="CO29" i="2"/>
  <c r="V25" i="5" s="1"/>
  <c r="CN29" i="2"/>
  <c r="CT28" i="2"/>
  <c r="CS28" i="2"/>
  <c r="Z24" i="5" s="1"/>
  <c r="CR28" i="2"/>
  <c r="Y24" i="5" s="1"/>
  <c r="CQ28" i="2"/>
  <c r="X24" i="5" s="1"/>
  <c r="CP28" i="2"/>
  <c r="W24" i="5" s="1"/>
  <c r="CO28" i="2"/>
  <c r="V24" i="5" s="1"/>
  <c r="CN28" i="2"/>
  <c r="CU27" i="2"/>
  <c r="CU26" i="2"/>
  <c r="CU25" i="2"/>
  <c r="CU24" i="2"/>
  <c r="CU23" i="2"/>
  <c r="CQ92" i="2"/>
  <c r="CP30" i="2"/>
  <c r="CO33" i="2"/>
  <c r="CN92" i="2"/>
  <c r="CU21" i="2"/>
  <c r="CT18" i="2"/>
  <c r="CT19" i="2" s="1"/>
  <c r="CS18" i="2"/>
  <c r="CS19" i="2" s="1"/>
  <c r="CR18" i="2"/>
  <c r="CR19" i="2" s="1"/>
  <c r="CQ18" i="2"/>
  <c r="CQ19" i="2" s="1"/>
  <c r="CP18" i="2"/>
  <c r="CP19" i="2" s="1"/>
  <c r="CO18" i="2"/>
  <c r="CO19" i="2" s="1"/>
  <c r="CN18" i="2"/>
  <c r="CN19" i="2" s="1"/>
  <c r="CT17" i="2"/>
  <c r="CS17" i="2"/>
  <c r="CR17" i="2"/>
  <c r="CP17" i="2"/>
  <c r="CO17" i="2"/>
  <c r="CN17" i="2"/>
  <c r="CT16" i="2"/>
  <c r="CS16" i="2"/>
  <c r="CR16" i="2"/>
  <c r="CQ16" i="2"/>
  <c r="CP16" i="2"/>
  <c r="CO16" i="2"/>
  <c r="CN16" i="2"/>
  <c r="CT15" i="2"/>
  <c r="CS15" i="2"/>
  <c r="CR15" i="2"/>
  <c r="CQ15" i="2"/>
  <c r="CP15" i="2"/>
  <c r="CO15" i="2"/>
  <c r="CN15" i="2"/>
  <c r="CT14" i="2"/>
  <c r="CS14" i="2"/>
  <c r="CR14" i="2"/>
  <c r="CP14" i="2"/>
  <c r="CO14" i="2"/>
  <c r="CN14" i="2"/>
  <c r="CT13" i="2"/>
  <c r="AA20" i="5" s="1"/>
  <c r="CS13" i="2"/>
  <c r="Z20" i="5" s="1"/>
  <c r="CR13" i="2"/>
  <c r="Y20" i="5" s="1"/>
  <c r="CQ13" i="2"/>
  <c r="X20" i="5" s="1"/>
  <c r="CP13" i="2"/>
  <c r="W20" i="5" s="1"/>
  <c r="CO13" i="2"/>
  <c r="V20" i="5" s="1"/>
  <c r="CN13" i="2"/>
  <c r="CT12" i="2"/>
  <c r="CS12" i="2"/>
  <c r="CR12" i="2"/>
  <c r="CQ12" i="2"/>
  <c r="CP12" i="2"/>
  <c r="CO12" i="2"/>
  <c r="CN12" i="2"/>
  <c r="CT11" i="2"/>
  <c r="AA22" i="5" s="1"/>
  <c r="CS11" i="2"/>
  <c r="Z22" i="5" s="1"/>
  <c r="CR11" i="2"/>
  <c r="Y22" i="5" s="1"/>
  <c r="CQ11" i="2"/>
  <c r="X22" i="5" s="1"/>
  <c r="CP11" i="2"/>
  <c r="W22" i="5" s="1"/>
  <c r="CO11" i="2"/>
  <c r="V22" i="5" s="1"/>
  <c r="CN11" i="2"/>
  <c r="CT10" i="2"/>
  <c r="AA21" i="5" s="1"/>
  <c r="CS10" i="2"/>
  <c r="Z21" i="5" s="1"/>
  <c r="CR10" i="2"/>
  <c r="Y21" i="5" s="1"/>
  <c r="CQ10" i="2"/>
  <c r="X21" i="5" s="1"/>
  <c r="CP10" i="2"/>
  <c r="W21" i="5" s="1"/>
  <c r="CO10" i="2"/>
  <c r="V21" i="5" s="1"/>
  <c r="CN10" i="2"/>
  <c r="CU9" i="2"/>
  <c r="CU8" i="2"/>
  <c r="CU7" i="2"/>
  <c r="CQ6" i="2"/>
  <c r="CQ14" i="2" s="1"/>
  <c r="CU5" i="2"/>
  <c r="CU4" i="2"/>
  <c r="CU3" i="2"/>
  <c r="CP101" i="2" l="1"/>
  <c r="W7" i="5" s="1"/>
  <c r="CT101" i="2"/>
  <c r="AA7" i="5" s="1"/>
  <c r="CN132" i="2"/>
  <c r="CP100" i="2"/>
  <c r="W6" i="5" s="1"/>
  <c r="CT100" i="2"/>
  <c r="AA6" i="5" s="1"/>
  <c r="CN119" i="2"/>
  <c r="CR119" i="2"/>
  <c r="CQ99" i="2"/>
  <c r="X5" i="5" s="1"/>
  <c r="CQ100" i="2"/>
  <c r="X6" i="5" s="1"/>
  <c r="CU6" i="2"/>
  <c r="CN100" i="2"/>
  <c r="U6" i="5" s="1"/>
  <c r="U45" i="5"/>
  <c r="U49" i="5"/>
  <c r="CO100" i="2"/>
  <c r="V6" i="5" s="1"/>
  <c r="CS132" i="2"/>
  <c r="CS130" i="2"/>
  <c r="Z47" i="5" s="1"/>
  <c r="CS100" i="2"/>
  <c r="Z6" i="5" s="1"/>
  <c r="CR132" i="2"/>
  <c r="CR100" i="2"/>
  <c r="Y6" i="5" s="1"/>
  <c r="CR130" i="2"/>
  <c r="Y47" i="5" s="1"/>
  <c r="CS120" i="2"/>
  <c r="CS128" i="2"/>
  <c r="CS131" i="2"/>
  <c r="CS119" i="2"/>
  <c r="CS124" i="2"/>
  <c r="CT120" i="2"/>
  <c r="CT125" i="2"/>
  <c r="CT128" i="2"/>
  <c r="CT131" i="2"/>
  <c r="CT119" i="2"/>
  <c r="CT124" i="2"/>
  <c r="CT132" i="2"/>
  <c r="CT122" i="2"/>
  <c r="AA26" i="5" s="1"/>
  <c r="CS122" i="2"/>
  <c r="Z26" i="5" s="1"/>
  <c r="CS121" i="2"/>
  <c r="CS126" i="2"/>
  <c r="Z39" i="5" s="1"/>
  <c r="CR122" i="2"/>
  <c r="Y26" i="5" s="1"/>
  <c r="CR101" i="2"/>
  <c r="Y7" i="5" s="1"/>
  <c r="CR121" i="2"/>
  <c r="CR131" i="2"/>
  <c r="CR120" i="2"/>
  <c r="CR125" i="2"/>
  <c r="CR126" i="2"/>
  <c r="Y39" i="5" s="1"/>
  <c r="CT99" i="2"/>
  <c r="CS99" i="2"/>
  <c r="CP119" i="2"/>
  <c r="CP124" i="2"/>
  <c r="CQ120" i="2"/>
  <c r="CQ125" i="2"/>
  <c r="CQ119" i="2"/>
  <c r="CQ124" i="2"/>
  <c r="CQ129" i="2"/>
  <c r="X30" i="5" s="1"/>
  <c r="CQ132" i="2"/>
  <c r="CQ111" i="2"/>
  <c r="CQ126" i="2" s="1"/>
  <c r="X39" i="5" s="1"/>
  <c r="X35" i="5"/>
  <c r="CP111" i="2"/>
  <c r="CP126" i="2" s="1"/>
  <c r="W39" i="5" s="1"/>
  <c r="W35" i="5"/>
  <c r="CP129" i="2"/>
  <c r="W30" i="5" s="1"/>
  <c r="CP132" i="2"/>
  <c r="CQ131" i="2"/>
  <c r="CO132" i="2"/>
  <c r="CO119" i="2"/>
  <c r="CO124" i="2"/>
  <c r="V45" i="5"/>
  <c r="V49" i="5"/>
  <c r="CU69" i="2"/>
  <c r="CO111" i="2"/>
  <c r="CO126" i="2" s="1"/>
  <c r="V39" i="5" s="1"/>
  <c r="CP120" i="2"/>
  <c r="CP125" i="2"/>
  <c r="CO120" i="2"/>
  <c r="CQ101" i="2"/>
  <c r="X7" i="5" s="1"/>
  <c r="CQ121" i="2"/>
  <c r="CQ130" i="2"/>
  <c r="X47" i="5" s="1"/>
  <c r="CP128" i="2"/>
  <c r="CP131" i="2"/>
  <c r="CP121" i="2"/>
  <c r="CO128" i="2"/>
  <c r="CO131" i="2"/>
  <c r="CO121" i="2"/>
  <c r="CO130" i="2"/>
  <c r="V47" i="5" s="1"/>
  <c r="CN131" i="2"/>
  <c r="CN101" i="2"/>
  <c r="U7" i="5" s="1"/>
  <c r="CN121" i="2"/>
  <c r="CN126" i="2"/>
  <c r="CN130" i="2"/>
  <c r="CN120" i="2"/>
  <c r="CN125" i="2"/>
  <c r="CQ17" i="2"/>
  <c r="CQ30" i="2"/>
  <c r="CP33" i="2"/>
  <c r="CO36" i="2"/>
  <c r="CO37" i="2" s="1"/>
  <c r="CQ62" i="2"/>
  <c r="CQ122" i="2"/>
  <c r="X26" i="5" s="1"/>
  <c r="CO123" i="2"/>
  <c r="CS123" i="2"/>
  <c r="CT129" i="2"/>
  <c r="AA30" i="5" s="1"/>
  <c r="CO92" i="2"/>
  <c r="CO99" i="2" s="1"/>
  <c r="CU22" i="2"/>
  <c r="CN30" i="2"/>
  <c r="CQ33" i="2"/>
  <c r="CP36" i="2"/>
  <c r="CP37" i="2" s="1"/>
  <c r="CU58" i="2"/>
  <c r="CN62" i="2"/>
  <c r="CN107" i="2"/>
  <c r="CN122" i="2" s="1"/>
  <c r="CP123" i="2"/>
  <c r="CT123" i="2"/>
  <c r="CP92" i="2"/>
  <c r="CO30" i="2"/>
  <c r="CO62" i="2"/>
  <c r="CO107" i="2"/>
  <c r="CO122" i="2" s="1"/>
  <c r="CQ123" i="2"/>
  <c r="CN124" i="2"/>
  <c r="CR124" i="2"/>
  <c r="CO125" i="2"/>
  <c r="CS125" i="2"/>
  <c r="CT126" i="2"/>
  <c r="AA39" i="5" s="1"/>
  <c r="CQ128" i="2"/>
  <c r="CN129" i="2"/>
  <c r="U30" i="5" s="1"/>
  <c r="CR129" i="2"/>
  <c r="Y30" i="5" s="1"/>
  <c r="CN99" i="2"/>
  <c r="CR99" i="2"/>
  <c r="CO101" i="2"/>
  <c r="V7" i="5" s="1"/>
  <c r="CS101" i="2"/>
  <c r="Z7" i="5" s="1"/>
  <c r="CN36" i="2"/>
  <c r="CN37" i="2" s="1"/>
  <c r="CP62" i="2"/>
  <c r="CP107" i="2"/>
  <c r="CP122" i="2" s="1"/>
  <c r="W26" i="5" s="1"/>
  <c r="CT121" i="2"/>
  <c r="CN123" i="2"/>
  <c r="CR123" i="2"/>
  <c r="CN128" i="2"/>
  <c r="CR128" i="2"/>
  <c r="CO129" i="2"/>
  <c r="V30" i="5" s="1"/>
  <c r="CS129" i="2"/>
  <c r="Z30" i="5" s="1"/>
  <c r="CP130" i="2"/>
  <c r="W47" i="5" s="1"/>
  <c r="CT130" i="2"/>
  <c r="AA47" i="5" s="1"/>
  <c r="CJ30" i="2"/>
  <c r="CO98" i="2" l="1"/>
  <c r="X4" i="5"/>
  <c r="CQ98" i="2"/>
  <c r="U5" i="5"/>
  <c r="U4" i="5" s="1"/>
  <c r="CN98" i="2"/>
  <c r="AA5" i="5"/>
  <c r="AA4" i="5" s="1"/>
  <c r="CT98" i="2"/>
  <c r="V5" i="5"/>
  <c r="V4" i="5" s="1"/>
  <c r="CP99" i="2"/>
  <c r="CP98" i="2" s="1"/>
  <c r="Y5" i="5"/>
  <c r="Y4" i="5" s="1"/>
  <c r="CR98" i="2"/>
  <c r="Z5" i="5"/>
  <c r="Z4" i="5" s="1"/>
  <c r="CS98" i="2"/>
  <c r="X45" i="5"/>
  <c r="X49" i="5"/>
  <c r="W49" i="5"/>
  <c r="W45" i="5"/>
  <c r="W5" i="5" l="1"/>
  <c r="W4" i="5" s="1"/>
  <c r="P16" i="5"/>
  <c r="P17" i="5"/>
  <c r="P9" i="5"/>
  <c r="P10" i="5"/>
  <c r="P11" i="5"/>
  <c r="P12" i="5"/>
  <c r="CF105" i="2"/>
  <c r="CG112" i="2"/>
  <c r="CH112" i="2"/>
  <c r="CH127" i="2" s="1"/>
  <c r="P40" i="5" s="1"/>
  <c r="CG115" i="2"/>
  <c r="CH115" i="2"/>
  <c r="CG116" i="2"/>
  <c r="CH116" i="2"/>
  <c r="CF117" i="2"/>
  <c r="CF116" i="2"/>
  <c r="CF115" i="2"/>
  <c r="CG114" i="2"/>
  <c r="CH114" i="2"/>
  <c r="CF114" i="2"/>
  <c r="CH85" i="2"/>
  <c r="P18" i="5" s="1"/>
  <c r="CH80" i="2" l="1"/>
  <c r="CH117" i="2" s="1"/>
  <c r="CH69" i="2"/>
  <c r="CH111" i="2" s="1"/>
  <c r="CH82" i="2"/>
  <c r="P14" i="5" s="1"/>
  <c r="CH58" i="2"/>
  <c r="CH22" i="2"/>
  <c r="CH6" i="2"/>
  <c r="CG127" i="2" l="1"/>
  <c r="CM60" i="1"/>
  <c r="CG69" i="2" l="1"/>
  <c r="CG111" i="2" s="1"/>
  <c r="CF85" i="2" l="1"/>
  <c r="CG85" i="2"/>
  <c r="CE85" i="2"/>
  <c r="CG80" i="2"/>
  <c r="CL80" i="2" s="1"/>
  <c r="CG82" i="2"/>
  <c r="CG58" i="2"/>
  <c r="CG22" i="2"/>
  <c r="CG117" i="2" l="1"/>
  <c r="CF91" i="2"/>
  <c r="CE91" i="2"/>
  <c r="CG91" i="2"/>
  <c r="CH91" i="2"/>
  <c r="CI91" i="2"/>
  <c r="CJ91" i="2"/>
  <c r="CK91" i="2"/>
  <c r="CG92" i="2"/>
  <c r="CH92" i="2"/>
  <c r="CI92" i="2"/>
  <c r="CJ92" i="2"/>
  <c r="CK92" i="2"/>
  <c r="CF93" i="2"/>
  <c r="CG93" i="2"/>
  <c r="CH93" i="2"/>
  <c r="CI93" i="2"/>
  <c r="CJ93" i="2"/>
  <c r="CK93" i="2"/>
  <c r="CG94" i="2"/>
  <c r="CH94" i="2"/>
  <c r="CI94" i="2"/>
  <c r="CJ94" i="2"/>
  <c r="CK94" i="2"/>
  <c r="CF95" i="2"/>
  <c r="CG95" i="2"/>
  <c r="CH95" i="2"/>
  <c r="CI95" i="2"/>
  <c r="CJ95" i="2"/>
  <c r="CK95" i="2"/>
  <c r="CF96" i="2"/>
  <c r="CG96" i="2"/>
  <c r="CH96" i="2"/>
  <c r="CI96" i="2"/>
  <c r="CJ96" i="2"/>
  <c r="CK96" i="2"/>
  <c r="CE96" i="2"/>
  <c r="CE95" i="2"/>
  <c r="CE93" i="2"/>
  <c r="S44" i="5"/>
  <c r="R44" i="5"/>
  <c r="Q44" i="5"/>
  <c r="P44" i="5"/>
  <c r="O44" i="5"/>
  <c r="N44" i="5"/>
  <c r="S43" i="5"/>
  <c r="R43" i="5"/>
  <c r="Q43" i="5"/>
  <c r="P43" i="5"/>
  <c r="O43" i="5"/>
  <c r="N43" i="5"/>
  <c r="N48" i="5"/>
  <c r="O48" i="5"/>
  <c r="P48" i="5"/>
  <c r="Q48" i="5"/>
  <c r="R48" i="5"/>
  <c r="S48" i="5"/>
  <c r="N50" i="5"/>
  <c r="O50" i="5"/>
  <c r="P50" i="5"/>
  <c r="Q50" i="5"/>
  <c r="R50" i="5"/>
  <c r="S50" i="5"/>
  <c r="N52" i="5"/>
  <c r="O52" i="5"/>
  <c r="P52" i="5"/>
  <c r="Q52" i="5"/>
  <c r="R52" i="5"/>
  <c r="S52" i="5"/>
  <c r="N53" i="5"/>
  <c r="O53" i="5"/>
  <c r="P53" i="5"/>
  <c r="Q53" i="5"/>
  <c r="R53" i="5"/>
  <c r="S53" i="5"/>
  <c r="N54" i="5"/>
  <c r="O54" i="5"/>
  <c r="P54" i="5"/>
  <c r="Q54" i="5"/>
  <c r="R54" i="5"/>
  <c r="S54" i="5"/>
  <c r="N55" i="5"/>
  <c r="O55" i="5"/>
  <c r="P55" i="5"/>
  <c r="Q55" i="5"/>
  <c r="R55" i="5"/>
  <c r="S55" i="5"/>
  <c r="N56" i="5"/>
  <c r="O56" i="5"/>
  <c r="P56" i="5"/>
  <c r="Q56" i="5"/>
  <c r="R56" i="5"/>
  <c r="S56" i="5"/>
  <c r="N57" i="5"/>
  <c r="O57" i="5"/>
  <c r="P57" i="5"/>
  <c r="Q57" i="5"/>
  <c r="R57" i="5"/>
  <c r="S57" i="5"/>
  <c r="M57" i="5"/>
  <c r="M56" i="5"/>
  <c r="M55" i="5"/>
  <c r="M54" i="5"/>
  <c r="M53" i="5"/>
  <c r="M52" i="5"/>
  <c r="M50" i="5"/>
  <c r="M48" i="5"/>
  <c r="CL73" i="2"/>
  <c r="CL72" i="2"/>
  <c r="CL71" i="2"/>
  <c r="M44" i="5"/>
  <c r="M43" i="5"/>
  <c r="N31" i="5"/>
  <c r="O31" i="5"/>
  <c r="P31" i="5"/>
  <c r="Q31" i="5"/>
  <c r="R31" i="5"/>
  <c r="S31" i="5"/>
  <c r="N32" i="5"/>
  <c r="O32" i="5"/>
  <c r="P32" i="5"/>
  <c r="Q32" i="5"/>
  <c r="R32" i="5"/>
  <c r="S32" i="5"/>
  <c r="N33" i="5"/>
  <c r="O33" i="5"/>
  <c r="P33" i="5"/>
  <c r="Q33" i="5"/>
  <c r="R33" i="5"/>
  <c r="S33" i="5"/>
  <c r="O34" i="5"/>
  <c r="P34" i="5"/>
  <c r="Q34" i="5"/>
  <c r="R34" i="5"/>
  <c r="S34" i="5"/>
  <c r="O35" i="5"/>
  <c r="P35" i="5"/>
  <c r="Q35" i="5"/>
  <c r="R35" i="5"/>
  <c r="S35" i="5"/>
  <c r="O40" i="5"/>
  <c r="Q40" i="5"/>
  <c r="R40" i="5"/>
  <c r="S40" i="5"/>
  <c r="CF112" i="2"/>
  <c r="CF127" i="2" s="1"/>
  <c r="N40" i="5" s="1"/>
  <c r="CE112" i="2"/>
  <c r="CE127" i="2" s="1"/>
  <c r="M40" i="5" s="1"/>
  <c r="M34" i="5"/>
  <c r="M33" i="5"/>
  <c r="M32" i="5"/>
  <c r="M31" i="5"/>
  <c r="CF69" i="2"/>
  <c r="CF111" i="2" s="1"/>
  <c r="CE69" i="2"/>
  <c r="M35" i="5" s="1"/>
  <c r="CL68" i="2"/>
  <c r="CL67" i="2"/>
  <c r="CL66" i="2"/>
  <c r="CL65" i="2"/>
  <c r="N9" i="5"/>
  <c r="O9" i="5"/>
  <c r="N10" i="5"/>
  <c r="O10" i="5"/>
  <c r="N11" i="5"/>
  <c r="O11" i="5"/>
  <c r="N12" i="5"/>
  <c r="O12" i="5"/>
  <c r="O14" i="5"/>
  <c r="N16" i="5"/>
  <c r="O16" i="5"/>
  <c r="N17" i="5"/>
  <c r="O17" i="5"/>
  <c r="N18" i="5"/>
  <c r="O18" i="5"/>
  <c r="CF89" i="2"/>
  <c r="CF123" i="2" s="1"/>
  <c r="CG89" i="2"/>
  <c r="CG123" i="2" s="1"/>
  <c r="CH89" i="2"/>
  <c r="CH123" i="2" s="1"/>
  <c r="CI123" i="2"/>
  <c r="CJ89" i="2"/>
  <c r="CJ123" i="2" s="1"/>
  <c r="CK89" i="2"/>
  <c r="CK129" i="2" s="1"/>
  <c r="S30" i="5" s="1"/>
  <c r="CE89" i="2"/>
  <c r="CE123" i="2" s="1"/>
  <c r="CB132" i="2"/>
  <c r="CA132" i="2"/>
  <c r="BZ132" i="2"/>
  <c r="BY132" i="2"/>
  <c r="BX132" i="2"/>
  <c r="BW132" i="2"/>
  <c r="BV132" i="2"/>
  <c r="BS132" i="2"/>
  <c r="BR132" i="2"/>
  <c r="BQ132" i="2"/>
  <c r="BP132" i="2"/>
  <c r="BO132" i="2"/>
  <c r="BN132" i="2"/>
  <c r="BM132" i="2"/>
  <c r="CB131" i="2"/>
  <c r="CA131" i="2"/>
  <c r="BZ131" i="2"/>
  <c r="BY131" i="2"/>
  <c r="BX131" i="2"/>
  <c r="BW131" i="2"/>
  <c r="BV131" i="2"/>
  <c r="BS131" i="2"/>
  <c r="BR131" i="2"/>
  <c r="BQ131" i="2"/>
  <c r="BP131" i="2"/>
  <c r="BO131" i="2"/>
  <c r="BN131" i="2"/>
  <c r="BM131" i="2"/>
  <c r="CB130" i="2"/>
  <c r="CA130" i="2"/>
  <c r="BZ130" i="2"/>
  <c r="BY130" i="2"/>
  <c r="BX130" i="2"/>
  <c r="BW130" i="2"/>
  <c r="BV130" i="2"/>
  <c r="BS130" i="2"/>
  <c r="BR130" i="2"/>
  <c r="BQ130" i="2"/>
  <c r="BP130" i="2"/>
  <c r="BO130" i="2"/>
  <c r="BN130" i="2"/>
  <c r="BM130" i="2"/>
  <c r="CA129" i="2"/>
  <c r="BZ129" i="2"/>
  <c r="BY129" i="2"/>
  <c r="BX129" i="2"/>
  <c r="BW129" i="2"/>
  <c r="BV129" i="2"/>
  <c r="BR129" i="2"/>
  <c r="BQ129" i="2"/>
  <c r="BP129" i="2"/>
  <c r="BO129" i="2"/>
  <c r="BN129" i="2"/>
  <c r="BM129" i="2"/>
  <c r="CB121" i="2"/>
  <c r="CA121" i="2"/>
  <c r="BZ121" i="2"/>
  <c r="BX121" i="2"/>
  <c r="BW121" i="2"/>
  <c r="BV121" i="2"/>
  <c r="BS121" i="2"/>
  <c r="BR121" i="2"/>
  <c r="BQ121" i="2"/>
  <c r="BP121" i="2"/>
  <c r="BO121" i="2"/>
  <c r="BN121" i="2"/>
  <c r="BM121" i="2"/>
  <c r="M18" i="5"/>
  <c r="M17" i="5"/>
  <c r="M16" i="5"/>
  <c r="M12" i="5"/>
  <c r="M11" i="5"/>
  <c r="M10" i="5"/>
  <c r="M9" i="5"/>
  <c r="CF101" i="2" l="1"/>
  <c r="N7" i="5" s="1"/>
  <c r="CE101" i="2"/>
  <c r="M7" i="5" s="1"/>
  <c r="R49" i="5"/>
  <c r="CJ101" i="2"/>
  <c r="R7" i="5" s="1"/>
  <c r="CK99" i="2"/>
  <c r="S5" i="5" s="1"/>
  <c r="CJ99" i="2"/>
  <c r="R5" i="5" s="1"/>
  <c r="CI101" i="2"/>
  <c r="Q7" i="5" s="1"/>
  <c r="CH99" i="2"/>
  <c r="P5" i="5" s="1"/>
  <c r="CH101" i="2"/>
  <c r="P7" i="5" s="1"/>
  <c r="CI99" i="2"/>
  <c r="Q5" i="5" s="1"/>
  <c r="CK101" i="2"/>
  <c r="S7" i="5" s="1"/>
  <c r="CG101" i="2"/>
  <c r="O7" i="5" s="1"/>
  <c r="CG99" i="2"/>
  <c r="O5" i="5" s="1"/>
  <c r="Q49" i="5"/>
  <c r="Q45" i="5"/>
  <c r="R45" i="5"/>
  <c r="O45" i="5"/>
  <c r="S45" i="5"/>
  <c r="S49" i="5"/>
  <c r="O49" i="5"/>
  <c r="P45" i="5"/>
  <c r="P49" i="5"/>
  <c r="M49" i="5"/>
  <c r="N35" i="5"/>
  <c r="N49" i="5" s="1"/>
  <c r="M45" i="5"/>
  <c r="CE111" i="2"/>
  <c r="CK123" i="2"/>
  <c r="CL69" i="2"/>
  <c r="CL75" i="1"/>
  <c r="N45" i="5" l="1"/>
  <c r="CL60" i="1"/>
  <c r="CF82" i="2"/>
  <c r="N14" i="5" s="1"/>
  <c r="CF58" i="2"/>
  <c r="CF22" i="2"/>
  <c r="CF92" i="2" s="1"/>
  <c r="CF107" i="2" l="1"/>
  <c r="CF122" i="2" s="1"/>
  <c r="N26" i="5" s="1"/>
  <c r="CF94" i="2"/>
  <c r="CF99" i="2" s="1"/>
  <c r="N5" i="5" s="1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CK75" i="1" l="1"/>
  <c r="CE117" i="2" s="1"/>
  <c r="CK60" i="1"/>
  <c r="CR60" i="1" s="1"/>
  <c r="CR91" i="1"/>
  <c r="CR90" i="1"/>
  <c r="CR87" i="1"/>
  <c r="CR86" i="1"/>
  <c r="CR83" i="1"/>
  <c r="CR82" i="1"/>
  <c r="CR81" i="1"/>
  <c r="CR78" i="1"/>
  <c r="CR77" i="1"/>
  <c r="CR76" i="1"/>
  <c r="CR75" i="1"/>
  <c r="CR74" i="1"/>
  <c r="CR73" i="1"/>
  <c r="CR72" i="1"/>
  <c r="CR71" i="1"/>
  <c r="CR70" i="1"/>
  <c r="CR67" i="1"/>
  <c r="CR66" i="1"/>
  <c r="CR65" i="1"/>
  <c r="CR64" i="1"/>
  <c r="CR63" i="1"/>
  <c r="CR59" i="1"/>
  <c r="CR58" i="1"/>
  <c r="CR57" i="1"/>
  <c r="CR56" i="1"/>
  <c r="CR53" i="1"/>
  <c r="CQ52" i="1"/>
  <c r="CP52" i="1"/>
  <c r="CO52" i="1"/>
  <c r="CN52" i="1"/>
  <c r="CM52" i="1"/>
  <c r="CL52" i="1"/>
  <c r="CK52" i="1"/>
  <c r="CR50" i="1"/>
  <c r="CQ32" i="1"/>
  <c r="CQ29" i="1"/>
  <c r="CP29" i="1"/>
  <c r="CO29" i="1"/>
  <c r="CN29" i="1"/>
  <c r="CM29" i="1"/>
  <c r="CL29" i="1"/>
  <c r="CK29" i="1"/>
  <c r="CR27" i="1"/>
  <c r="CQ20" i="1"/>
  <c r="CP20" i="1"/>
  <c r="CO20" i="1"/>
  <c r="CN20" i="1"/>
  <c r="CM20" i="1"/>
  <c r="CL20" i="1"/>
  <c r="CK20" i="1"/>
  <c r="CQ19" i="1"/>
  <c r="CP19" i="1"/>
  <c r="CO19" i="1"/>
  <c r="CN19" i="1"/>
  <c r="CM19" i="1"/>
  <c r="CL19" i="1"/>
  <c r="CK19" i="1"/>
  <c r="CR18" i="1"/>
  <c r="CQ17" i="1"/>
  <c r="CP17" i="1"/>
  <c r="CO17" i="1"/>
  <c r="CN17" i="1"/>
  <c r="CM17" i="1"/>
  <c r="CL17" i="1"/>
  <c r="CK17" i="1"/>
  <c r="CQ16" i="1"/>
  <c r="CP16" i="1"/>
  <c r="CO16" i="1"/>
  <c r="CN16" i="1"/>
  <c r="CM16" i="1"/>
  <c r="CL16" i="1"/>
  <c r="CQ13" i="1"/>
  <c r="CP13" i="1"/>
  <c r="CO13" i="1"/>
  <c r="CN13" i="1"/>
  <c r="CM13" i="1"/>
  <c r="CL13" i="1"/>
  <c r="CK13" i="1"/>
  <c r="CQ12" i="1"/>
  <c r="CP12" i="1"/>
  <c r="CO12" i="1"/>
  <c r="CN12" i="1"/>
  <c r="CM12" i="1"/>
  <c r="CL12" i="1"/>
  <c r="CK12" i="1"/>
  <c r="CQ11" i="1"/>
  <c r="CP11" i="1"/>
  <c r="CO11" i="1"/>
  <c r="CN11" i="1"/>
  <c r="CM11" i="1"/>
  <c r="CL11" i="1"/>
  <c r="CK11" i="1"/>
  <c r="CQ10" i="1"/>
  <c r="CP10" i="1"/>
  <c r="CO10" i="1"/>
  <c r="CN10" i="1"/>
  <c r="CM10" i="1"/>
  <c r="CL10" i="1"/>
  <c r="CK10" i="1"/>
  <c r="CE82" i="2"/>
  <c r="CE58" i="2"/>
  <c r="CE22" i="2"/>
  <c r="CK117" i="2"/>
  <c r="CJ117" i="2"/>
  <c r="CI117" i="2"/>
  <c r="CK116" i="2"/>
  <c r="CJ116" i="2"/>
  <c r="CI116" i="2"/>
  <c r="CE116" i="2"/>
  <c r="CK115" i="2"/>
  <c r="CJ115" i="2"/>
  <c r="CI115" i="2"/>
  <c r="CE115" i="2"/>
  <c r="CJ114" i="2"/>
  <c r="CI114" i="2"/>
  <c r="CE114" i="2"/>
  <c r="CK113" i="2"/>
  <c r="CK128" i="2" s="1"/>
  <c r="S41" i="5" s="1"/>
  <c r="CJ113" i="2"/>
  <c r="CJ128" i="2" s="1"/>
  <c r="R41" i="5" s="1"/>
  <c r="CI113" i="2"/>
  <c r="CI128" i="2" s="1"/>
  <c r="Q41" i="5" s="1"/>
  <c r="CH113" i="2"/>
  <c r="CH128" i="2" s="1"/>
  <c r="P41" i="5" s="1"/>
  <c r="CF113" i="2"/>
  <c r="CF128" i="2" s="1"/>
  <c r="N41" i="5" s="1"/>
  <c r="CE113" i="2"/>
  <c r="CK111" i="2"/>
  <c r="CJ111" i="2"/>
  <c r="CI111" i="2"/>
  <c r="CK110" i="2"/>
  <c r="CK125" i="2" s="1"/>
  <c r="S38" i="5" s="1"/>
  <c r="CJ110" i="2"/>
  <c r="CJ125" i="2" s="1"/>
  <c r="R38" i="5" s="1"/>
  <c r="CI110" i="2"/>
  <c r="CI125" i="2" s="1"/>
  <c r="Q38" i="5" s="1"/>
  <c r="CH110" i="2"/>
  <c r="CH125" i="2" s="1"/>
  <c r="P38" i="5" s="1"/>
  <c r="CG110" i="2"/>
  <c r="CG125" i="2" s="1"/>
  <c r="O38" i="5" s="1"/>
  <c r="CF110" i="2"/>
  <c r="CF125" i="2" s="1"/>
  <c r="N38" i="5" s="1"/>
  <c r="CE110" i="2"/>
  <c r="CE125" i="2" s="1"/>
  <c r="M38" i="5" s="1"/>
  <c r="CK109" i="2"/>
  <c r="CK124" i="2" s="1"/>
  <c r="S37" i="5" s="1"/>
  <c r="CJ109" i="2"/>
  <c r="CJ124" i="2" s="1"/>
  <c r="R37" i="5" s="1"/>
  <c r="CI109" i="2"/>
  <c r="CI124" i="2" s="1"/>
  <c r="Q37" i="5" s="1"/>
  <c r="CH109" i="2"/>
  <c r="CH124" i="2" s="1"/>
  <c r="P37" i="5" s="1"/>
  <c r="CF109" i="2"/>
  <c r="CF124" i="2" s="1"/>
  <c r="N37" i="5" s="1"/>
  <c r="CE109" i="2"/>
  <c r="CE124" i="2" s="1"/>
  <c r="M37" i="5" s="1"/>
  <c r="CK107" i="2"/>
  <c r="CK122" i="2" s="1"/>
  <c r="CH107" i="2"/>
  <c r="CH122" i="2" s="1"/>
  <c r="P26" i="5" s="1"/>
  <c r="CG107" i="2"/>
  <c r="CG122" i="2" s="1"/>
  <c r="O26" i="5" s="1"/>
  <c r="CK106" i="2"/>
  <c r="CK121" i="2" s="1"/>
  <c r="CJ106" i="2"/>
  <c r="CJ121" i="2" s="1"/>
  <c r="CI106" i="2"/>
  <c r="CI121" i="2" s="1"/>
  <c r="CH106" i="2"/>
  <c r="CH121" i="2" s="1"/>
  <c r="CG106" i="2"/>
  <c r="CG121" i="2" s="1"/>
  <c r="CF106" i="2"/>
  <c r="CE106" i="2"/>
  <c r="CE121" i="2" s="1"/>
  <c r="CK105" i="2"/>
  <c r="CK120" i="2" s="1"/>
  <c r="CJ105" i="2"/>
  <c r="CJ120" i="2" s="1"/>
  <c r="CI105" i="2"/>
  <c r="CI120" i="2" s="1"/>
  <c r="CH105" i="2"/>
  <c r="CH120" i="2" s="1"/>
  <c r="CG105" i="2"/>
  <c r="CG120" i="2" s="1"/>
  <c r="CE105" i="2"/>
  <c r="CE120" i="2" s="1"/>
  <c r="CK104" i="2"/>
  <c r="CK119" i="2" s="1"/>
  <c r="CJ104" i="2"/>
  <c r="CJ119" i="2" s="1"/>
  <c r="CI104" i="2"/>
  <c r="CI119" i="2" s="1"/>
  <c r="CH104" i="2"/>
  <c r="CH119" i="2" s="1"/>
  <c r="CG104" i="2"/>
  <c r="CG119" i="2" s="1"/>
  <c r="CF104" i="2"/>
  <c r="CE104" i="2"/>
  <c r="CE119" i="2" s="1"/>
  <c r="CE87" i="2"/>
  <c r="CL86" i="2"/>
  <c r="CL85" i="2"/>
  <c r="CL84" i="2"/>
  <c r="CK63" i="2"/>
  <c r="CJ63" i="2"/>
  <c r="CI63" i="2"/>
  <c r="CH63" i="2"/>
  <c r="CG63" i="2"/>
  <c r="CF63" i="2"/>
  <c r="CE63" i="2"/>
  <c r="CK62" i="2"/>
  <c r="CJ62" i="2"/>
  <c r="CG62" i="2"/>
  <c r="CF62" i="2"/>
  <c r="CL61" i="2"/>
  <c r="CL60" i="2"/>
  <c r="CL59" i="2"/>
  <c r="CJ107" i="2"/>
  <c r="CJ122" i="2" s="1"/>
  <c r="CI62" i="2"/>
  <c r="CH62" i="2"/>
  <c r="CL26" i="1"/>
  <c r="CK55" i="2"/>
  <c r="CK56" i="2" s="1"/>
  <c r="CJ55" i="2"/>
  <c r="CJ56" i="2" s="1"/>
  <c r="CI55" i="2"/>
  <c r="CI56" i="2" s="1"/>
  <c r="CH55" i="2"/>
  <c r="CH56" i="2" s="1"/>
  <c r="CG55" i="2"/>
  <c r="CG56" i="2" s="1"/>
  <c r="CF55" i="2"/>
  <c r="CF56" i="2" s="1"/>
  <c r="CE55" i="2"/>
  <c r="CE56" i="2" s="1"/>
  <c r="CK54" i="2"/>
  <c r="CQ47" i="1" s="1"/>
  <c r="CJ54" i="2"/>
  <c r="CP47" i="1" s="1"/>
  <c r="CI54" i="2"/>
  <c r="CO47" i="1" s="1"/>
  <c r="CH54" i="2"/>
  <c r="CN47" i="1" s="1"/>
  <c r="CG54" i="2"/>
  <c r="CM47" i="1" s="1"/>
  <c r="CF54" i="2"/>
  <c r="CL47" i="1" s="1"/>
  <c r="CE54" i="2"/>
  <c r="CK47" i="1" s="1"/>
  <c r="CK53" i="2"/>
  <c r="CQ48" i="1" s="1"/>
  <c r="CJ53" i="2"/>
  <c r="CP48" i="1" s="1"/>
  <c r="CI53" i="2"/>
  <c r="CO48" i="1" s="1"/>
  <c r="CH53" i="2"/>
  <c r="CN48" i="1" s="1"/>
  <c r="CG53" i="2"/>
  <c r="CM48" i="1" s="1"/>
  <c r="CF53" i="2"/>
  <c r="CL48" i="1" s="1"/>
  <c r="CE53" i="2"/>
  <c r="CK48" i="1" s="1"/>
  <c r="CK52" i="2"/>
  <c r="CQ49" i="1" s="1"/>
  <c r="CJ52" i="2"/>
  <c r="CP49" i="1" s="1"/>
  <c r="CI52" i="2"/>
  <c r="CO49" i="1" s="1"/>
  <c r="CH52" i="2"/>
  <c r="CN49" i="1" s="1"/>
  <c r="CF52" i="2"/>
  <c r="CL49" i="1" s="1"/>
  <c r="CE52" i="2"/>
  <c r="CK49" i="1" s="1"/>
  <c r="CK51" i="2"/>
  <c r="CJ51" i="2"/>
  <c r="CI51" i="2"/>
  <c r="CH51" i="2"/>
  <c r="CG51" i="2"/>
  <c r="CF51" i="2"/>
  <c r="CE51" i="2"/>
  <c r="CK50" i="2"/>
  <c r="CQ38" i="1" s="1"/>
  <c r="CJ50" i="2"/>
  <c r="CP38" i="1" s="1"/>
  <c r="CI50" i="2"/>
  <c r="CO38" i="1" s="1"/>
  <c r="CH50" i="2"/>
  <c r="CN38" i="1" s="1"/>
  <c r="CF50" i="2"/>
  <c r="CL38" i="1" s="1"/>
  <c r="CE50" i="2"/>
  <c r="CK38" i="1" s="1"/>
  <c r="CK49" i="2"/>
  <c r="CQ51" i="1" s="1"/>
  <c r="CJ49" i="2"/>
  <c r="CP51" i="1" s="1"/>
  <c r="CI49" i="2"/>
  <c r="CO51" i="1" s="1"/>
  <c r="CH49" i="2"/>
  <c r="CN51" i="1" s="1"/>
  <c r="CF49" i="2"/>
  <c r="CL51" i="1" s="1"/>
  <c r="CE49" i="2"/>
  <c r="CK51" i="1" s="1"/>
  <c r="CL46" i="2"/>
  <c r="CL45" i="2"/>
  <c r="CG50" i="2"/>
  <c r="CM38" i="1" s="1"/>
  <c r="CL43" i="2"/>
  <c r="CG109" i="2"/>
  <c r="CG124" i="2" s="1"/>
  <c r="O37" i="5" s="1"/>
  <c r="CL41" i="2"/>
  <c r="CL40" i="2"/>
  <c r="CL39" i="2"/>
  <c r="CI36" i="2"/>
  <c r="CI37" i="2" s="1"/>
  <c r="CK35" i="2"/>
  <c r="CJ35" i="2"/>
  <c r="CI35" i="2"/>
  <c r="CH35" i="2"/>
  <c r="CG35" i="2"/>
  <c r="CF35" i="2"/>
  <c r="CE35" i="2"/>
  <c r="CK34" i="2"/>
  <c r="CJ34" i="2"/>
  <c r="CI34" i="2"/>
  <c r="CH34" i="2"/>
  <c r="CG34" i="2"/>
  <c r="CF34" i="2"/>
  <c r="CE34" i="2"/>
  <c r="CK32" i="2"/>
  <c r="CJ32" i="2"/>
  <c r="CI32" i="2"/>
  <c r="CG32" i="2"/>
  <c r="CF32" i="2"/>
  <c r="CE32" i="2"/>
  <c r="CK31" i="2"/>
  <c r="CJ31" i="2"/>
  <c r="CI31" i="2"/>
  <c r="CH31" i="2"/>
  <c r="P23" i="5" s="1"/>
  <c r="CG31" i="2"/>
  <c r="O23" i="5" s="1"/>
  <c r="CF31" i="2"/>
  <c r="N23" i="5" s="1"/>
  <c r="CE31" i="2"/>
  <c r="M23" i="5" s="1"/>
  <c r="CK30" i="2"/>
  <c r="CG30" i="2"/>
  <c r="CK29" i="2"/>
  <c r="CQ44" i="1" s="1"/>
  <c r="CJ29" i="2"/>
  <c r="CP44" i="1" s="1"/>
  <c r="CI29" i="2"/>
  <c r="CO44" i="1" s="1"/>
  <c r="CG29" i="2"/>
  <c r="O25" i="5" s="1"/>
  <c r="CF29" i="2"/>
  <c r="CE29" i="2"/>
  <c r="CK28" i="2"/>
  <c r="CQ40" i="1" s="1"/>
  <c r="CJ28" i="2"/>
  <c r="CP40" i="1" s="1"/>
  <c r="CI28" i="2"/>
  <c r="CO40" i="1" s="1"/>
  <c r="CG28" i="2"/>
  <c r="O24" i="5" s="1"/>
  <c r="CF28" i="2"/>
  <c r="CE28" i="2"/>
  <c r="CL27" i="2"/>
  <c r="CL26" i="2"/>
  <c r="CL25" i="2"/>
  <c r="CL24" i="2"/>
  <c r="CL23" i="2"/>
  <c r="CK36" i="2"/>
  <c r="CK37" i="2" s="1"/>
  <c r="CI33" i="2"/>
  <c r="CH36" i="2"/>
  <c r="CH37" i="2" s="1"/>
  <c r="CG33" i="2"/>
  <c r="CF30" i="2"/>
  <c r="CH32" i="2"/>
  <c r="CK18" i="2"/>
  <c r="CK19" i="2" s="1"/>
  <c r="CJ18" i="2"/>
  <c r="CJ19" i="2" s="1"/>
  <c r="CI18" i="2"/>
  <c r="CI19" i="2" s="1"/>
  <c r="CH18" i="2"/>
  <c r="CH19" i="2" s="1"/>
  <c r="CG18" i="2"/>
  <c r="CG19" i="2" s="1"/>
  <c r="CF18" i="2"/>
  <c r="CF19" i="2" s="1"/>
  <c r="CE18" i="2"/>
  <c r="CE19" i="2" s="1"/>
  <c r="CK17" i="2"/>
  <c r="CJ17" i="2"/>
  <c r="CI17" i="2"/>
  <c r="CH17" i="2"/>
  <c r="CG17" i="2"/>
  <c r="CF17" i="2"/>
  <c r="CE17" i="2"/>
  <c r="CK16" i="2"/>
  <c r="CJ16" i="2"/>
  <c r="CI16" i="2"/>
  <c r="CH16" i="2"/>
  <c r="CG16" i="2"/>
  <c r="CF16" i="2"/>
  <c r="CE16" i="2"/>
  <c r="CK15" i="2"/>
  <c r="CJ15" i="2"/>
  <c r="CI15" i="2"/>
  <c r="CH15" i="2"/>
  <c r="CG15" i="2"/>
  <c r="CF15" i="2"/>
  <c r="CE15" i="2"/>
  <c r="CK14" i="2"/>
  <c r="CJ14" i="2"/>
  <c r="CI14" i="2"/>
  <c r="CH14" i="2"/>
  <c r="CG14" i="2"/>
  <c r="CF14" i="2"/>
  <c r="CE14" i="2"/>
  <c r="CK13" i="2"/>
  <c r="CJ13" i="2"/>
  <c r="CI13" i="2"/>
  <c r="CH13" i="2"/>
  <c r="P20" i="5" s="1"/>
  <c r="CG13" i="2"/>
  <c r="O20" i="5" s="1"/>
  <c r="CF13" i="2"/>
  <c r="N20" i="5" s="1"/>
  <c r="CE13" i="2"/>
  <c r="M20" i="5" s="1"/>
  <c r="CK12" i="2"/>
  <c r="CJ12" i="2"/>
  <c r="CI12" i="2"/>
  <c r="CH12" i="2"/>
  <c r="CG12" i="2"/>
  <c r="CF12" i="2"/>
  <c r="CE12" i="2"/>
  <c r="CK11" i="2"/>
  <c r="CQ43" i="1" s="1"/>
  <c r="CJ11" i="2"/>
  <c r="CP43" i="1" s="1"/>
  <c r="CI11" i="2"/>
  <c r="CO43" i="1" s="1"/>
  <c r="CH11" i="2"/>
  <c r="CG11" i="2"/>
  <c r="O22" i="5" s="1"/>
  <c r="CF11" i="2"/>
  <c r="CE11" i="2"/>
  <c r="CK10" i="2"/>
  <c r="CQ39" i="1" s="1"/>
  <c r="CJ10" i="2"/>
  <c r="CP39" i="1" s="1"/>
  <c r="CI10" i="2"/>
  <c r="CO39" i="1" s="1"/>
  <c r="CH10" i="2"/>
  <c r="CG10" i="2"/>
  <c r="O21" i="5" s="1"/>
  <c r="CF10" i="2"/>
  <c r="CE10" i="2"/>
  <c r="CL9" i="2"/>
  <c r="CL8" i="2"/>
  <c r="CL7" i="2"/>
  <c r="CL6" i="2"/>
  <c r="CL5" i="2"/>
  <c r="CL4" i="2"/>
  <c r="CL3" i="2"/>
  <c r="CN43" i="1" l="1"/>
  <c r="P22" i="5"/>
  <c r="CN39" i="1"/>
  <c r="P21" i="5"/>
  <c r="CE36" i="2"/>
  <c r="CE37" i="2" s="1"/>
  <c r="CE92" i="2"/>
  <c r="CE62" i="2"/>
  <c r="CE94" i="2"/>
  <c r="CM25" i="1"/>
  <c r="CE33" i="2"/>
  <c r="CO28" i="1"/>
  <c r="CQ23" i="1"/>
  <c r="CM23" i="1"/>
  <c r="CQ25" i="1"/>
  <c r="CO24" i="1"/>
  <c r="CK28" i="1"/>
  <c r="CM40" i="1"/>
  <c r="CM33" i="1"/>
  <c r="CG130" i="2"/>
  <c r="O47" i="5" s="1"/>
  <c r="CK40" i="1"/>
  <c r="M24" i="5"/>
  <c r="CL23" i="1"/>
  <c r="CF119" i="2"/>
  <c r="CL30" i="1"/>
  <c r="CF126" i="2"/>
  <c r="N39" i="5" s="1"/>
  <c r="CQ30" i="1"/>
  <c r="CK126" i="2"/>
  <c r="S39" i="5" s="1"/>
  <c r="CL32" i="1"/>
  <c r="CF129" i="2"/>
  <c r="N30" i="5" s="1"/>
  <c r="CP32" i="1"/>
  <c r="CJ129" i="2"/>
  <c r="R30" i="5" s="1"/>
  <c r="CN33" i="1"/>
  <c r="CH130" i="2"/>
  <c r="P47" i="5" s="1"/>
  <c r="CK34" i="1"/>
  <c r="CE131" i="2"/>
  <c r="CO34" i="1"/>
  <c r="CI131" i="2"/>
  <c r="CM35" i="1"/>
  <c r="CG132" i="2"/>
  <c r="CQ35" i="1"/>
  <c r="CK132" i="2"/>
  <c r="CL82" i="2"/>
  <c r="M14" i="5"/>
  <c r="CN23" i="1"/>
  <c r="CK24" i="1"/>
  <c r="CP24" i="1"/>
  <c r="CN25" i="1"/>
  <c r="CP26" i="1"/>
  <c r="CL28" i="1"/>
  <c r="CP28" i="1"/>
  <c r="CO31" i="1"/>
  <c r="CM43" i="1"/>
  <c r="CP30" i="1"/>
  <c r="CJ126" i="2"/>
  <c r="R39" i="5" s="1"/>
  <c r="CO32" i="1"/>
  <c r="CI129" i="2"/>
  <c r="Q30" i="5" s="1"/>
  <c r="CQ33" i="1"/>
  <c r="CK130" i="2"/>
  <c r="S47" i="5" s="1"/>
  <c r="CL35" i="1"/>
  <c r="CF132" i="2"/>
  <c r="CN31" i="1"/>
  <c r="CK43" i="1"/>
  <c r="M22" i="5"/>
  <c r="CL40" i="1"/>
  <c r="N24" i="5"/>
  <c r="CL25" i="1"/>
  <c r="CF121" i="2"/>
  <c r="CN30" i="1"/>
  <c r="CH126" i="2"/>
  <c r="P39" i="5" s="1"/>
  <c r="CK31" i="1"/>
  <c r="CE128" i="2"/>
  <c r="M41" i="5" s="1"/>
  <c r="CM32" i="1"/>
  <c r="CG129" i="2"/>
  <c r="O30" i="5" s="1"/>
  <c r="CK33" i="1"/>
  <c r="CE130" i="2"/>
  <c r="M47" i="5" s="1"/>
  <c r="CO33" i="1"/>
  <c r="CI130" i="2"/>
  <c r="Q47" i="5" s="1"/>
  <c r="CL34" i="1"/>
  <c r="CF131" i="2"/>
  <c r="CP34" i="1"/>
  <c r="CJ131" i="2"/>
  <c r="CN35" i="1"/>
  <c r="CH132" i="2"/>
  <c r="CL24" i="1"/>
  <c r="CF120" i="2"/>
  <c r="CK16" i="1"/>
  <c r="CR16" i="1" s="1"/>
  <c r="CO23" i="1"/>
  <c r="CM24" i="1"/>
  <c r="CQ24" i="1"/>
  <c r="CO25" i="1"/>
  <c r="CM26" i="1"/>
  <c r="CQ26" i="1"/>
  <c r="CM28" i="1"/>
  <c r="CQ28" i="1"/>
  <c r="CL31" i="1"/>
  <c r="CP31" i="1"/>
  <c r="CK39" i="1"/>
  <c r="CM44" i="1"/>
  <c r="CL39" i="1"/>
  <c r="N21" i="5"/>
  <c r="CL44" i="1"/>
  <c r="N25" i="5"/>
  <c r="CK30" i="1"/>
  <c r="CE126" i="2"/>
  <c r="M39" i="5" s="1"/>
  <c r="CK32" i="1"/>
  <c r="CE129" i="2"/>
  <c r="M30" i="5" s="1"/>
  <c r="CN34" i="1"/>
  <c r="CH131" i="2"/>
  <c r="CP35" i="1"/>
  <c r="CJ132" i="2"/>
  <c r="CL43" i="1"/>
  <c r="N22" i="5"/>
  <c r="CK44" i="1"/>
  <c r="M25" i="5"/>
  <c r="CO30" i="1"/>
  <c r="CI126" i="2"/>
  <c r="Q39" i="5" s="1"/>
  <c r="CN32" i="1"/>
  <c r="CH129" i="2"/>
  <c r="P30" i="5" s="1"/>
  <c r="CL33" i="1"/>
  <c r="CF130" i="2"/>
  <c r="N47" i="5" s="1"/>
  <c r="CP33" i="1"/>
  <c r="CJ130" i="2"/>
  <c r="R47" i="5" s="1"/>
  <c r="CM34" i="1"/>
  <c r="CG131" i="2"/>
  <c r="CQ34" i="1"/>
  <c r="CK131" i="2"/>
  <c r="CO35" i="1"/>
  <c r="CI132" i="2"/>
  <c r="CK23" i="1"/>
  <c r="CP23" i="1"/>
  <c r="CN24" i="1"/>
  <c r="CK25" i="1"/>
  <c r="CP25" i="1"/>
  <c r="CN26" i="1"/>
  <c r="CN28" i="1"/>
  <c r="CQ31" i="1"/>
  <c r="CM39" i="1"/>
  <c r="CK35" i="1"/>
  <c r="CE132" i="2"/>
  <c r="CR11" i="1"/>
  <c r="CR19" i="1"/>
  <c r="CR13" i="1"/>
  <c r="CR17" i="1"/>
  <c r="CR10" i="1"/>
  <c r="CR12" i="1"/>
  <c r="CR38" i="1"/>
  <c r="CR48" i="1"/>
  <c r="CR47" i="1"/>
  <c r="CR29" i="1"/>
  <c r="CR20" i="1"/>
  <c r="CJ33" i="2"/>
  <c r="CG113" i="2"/>
  <c r="CK33" i="2"/>
  <c r="CF36" i="2"/>
  <c r="CF37" i="2" s="1"/>
  <c r="CJ36" i="2"/>
  <c r="CJ37" i="2" s="1"/>
  <c r="CL44" i="2"/>
  <c r="CE88" i="2"/>
  <c r="CL21" i="2"/>
  <c r="CL22" i="2"/>
  <c r="CH29" i="2"/>
  <c r="CE30" i="2"/>
  <c r="CI30" i="2"/>
  <c r="CH33" i="2"/>
  <c r="CG36" i="2"/>
  <c r="CG37" i="2" s="1"/>
  <c r="CL42" i="2"/>
  <c r="CG49" i="2"/>
  <c r="CM51" i="1" s="1"/>
  <c r="CR51" i="1" s="1"/>
  <c r="CE107" i="2"/>
  <c r="CI107" i="2"/>
  <c r="CF33" i="2"/>
  <c r="CH30" i="2"/>
  <c r="CH28" i="2"/>
  <c r="CG52" i="2"/>
  <c r="CM49" i="1" s="1"/>
  <c r="CR49" i="1" s="1"/>
  <c r="CL58" i="2"/>
  <c r="CC84" i="2"/>
  <c r="CR25" i="1" l="1"/>
  <c r="CN40" i="1"/>
  <c r="CR40" i="1" s="1"/>
  <c r="P24" i="5"/>
  <c r="CN44" i="1"/>
  <c r="CR44" i="1" s="1"/>
  <c r="P25" i="5"/>
  <c r="CE99" i="2"/>
  <c r="M5" i="5" s="1"/>
  <c r="CR23" i="1"/>
  <c r="CR35" i="1"/>
  <c r="CR43" i="1"/>
  <c r="CR28" i="1"/>
  <c r="CR34" i="1"/>
  <c r="CR33" i="1"/>
  <c r="CR32" i="1"/>
  <c r="CR39" i="1"/>
  <c r="CR24" i="1"/>
  <c r="CG128" i="2"/>
  <c r="O41" i="5" s="1"/>
  <c r="CM31" i="1"/>
  <c r="CR31" i="1" s="1"/>
  <c r="CE122" i="2"/>
  <c r="M26" i="5" s="1"/>
  <c r="CK26" i="1"/>
  <c r="CM30" i="1"/>
  <c r="CR30" i="1" s="1"/>
  <c r="CG126" i="2"/>
  <c r="O39" i="5" s="1"/>
  <c r="CI122" i="2"/>
  <c r="CO26" i="1"/>
  <c r="CF75" i="1"/>
  <c r="CH75" i="1"/>
  <c r="CG75" i="1"/>
  <c r="CF66" i="1"/>
  <c r="CG66" i="1"/>
  <c r="CH66" i="1"/>
  <c r="CF60" i="1"/>
  <c r="BZ111" i="2" s="1"/>
  <c r="CG60" i="1"/>
  <c r="CH60" i="1"/>
  <c r="CB82" i="2"/>
  <c r="CA82" i="2"/>
  <c r="BZ82" i="2"/>
  <c r="CB58" i="2"/>
  <c r="CB128" i="2" s="1"/>
  <c r="CA58" i="2"/>
  <c r="CA128" i="2" s="1"/>
  <c r="BZ58" i="2"/>
  <c r="BZ128" i="2" s="1"/>
  <c r="BZ22" i="2"/>
  <c r="BZ120" i="2" s="1"/>
  <c r="CA22" i="2"/>
  <c r="CA120" i="2" s="1"/>
  <c r="CB22" i="2"/>
  <c r="CB120" i="2" s="1"/>
  <c r="CR26" i="1" l="1"/>
  <c r="S4" i="4"/>
  <c r="T4" i="4"/>
  <c r="U4" i="4"/>
  <c r="W4" i="4"/>
  <c r="X4" i="4"/>
  <c r="Z4" i="4"/>
  <c r="AA4" i="4"/>
  <c r="AB4" i="4"/>
  <c r="AC4" i="4"/>
  <c r="AD4" i="4"/>
  <c r="R4" i="4"/>
  <c r="AD3" i="4"/>
  <c r="U3" i="4"/>
  <c r="R3" i="4"/>
  <c r="BY21" i="2" l="1"/>
  <c r="BY121" i="2" s="1"/>
  <c r="BY22" i="2"/>
  <c r="BY120" i="2" s="1"/>
  <c r="CE13" i="1" l="1"/>
  <c r="BY109" i="2"/>
  <c r="CE75" i="1"/>
  <c r="CE66" i="1"/>
  <c r="CE60" i="1"/>
  <c r="BY82" i="2"/>
  <c r="BY58" i="2"/>
  <c r="BY128" i="2" s="1"/>
  <c r="BX44" i="2" l="1"/>
  <c r="BX42" i="2"/>
  <c r="CD75" i="1" l="1"/>
  <c r="CD66" i="1"/>
  <c r="CD60" i="1"/>
  <c r="BX82" i="2"/>
  <c r="BX58" i="2"/>
  <c r="BX128" i="2" s="1"/>
  <c r="BX22" i="2"/>
  <c r="BX120" i="2" s="1"/>
  <c r="AW28" i="2" l="1"/>
  <c r="AX28" i="2"/>
  <c r="AY28" i="2"/>
  <c r="AZ28" i="2"/>
  <c r="BA28" i="2"/>
  <c r="BB28" i="2"/>
  <c r="BE28" i="2"/>
  <c r="BF28" i="2"/>
  <c r="BG28" i="2"/>
  <c r="BH28" i="2"/>
  <c r="BI28" i="2"/>
  <c r="BJ28" i="2"/>
  <c r="AO10" i="2"/>
  <c r="AP10" i="2"/>
  <c r="AQ10" i="2"/>
  <c r="AR10" i="2"/>
  <c r="AS10" i="2"/>
  <c r="AT10" i="2"/>
  <c r="BB10" i="2"/>
  <c r="BC10" i="2"/>
  <c r="AW10" i="2"/>
  <c r="AX10" i="2"/>
  <c r="AY10" i="2"/>
  <c r="AZ10" i="2"/>
  <c r="BA10" i="2"/>
  <c r="BE10" i="2"/>
  <c r="BF10" i="2"/>
  <c r="BG10" i="2"/>
  <c r="BH10" i="2"/>
  <c r="BI10" i="2"/>
  <c r="BJ10" i="2"/>
  <c r="AO29" i="2"/>
  <c r="AP29" i="2"/>
  <c r="AQ29" i="2"/>
  <c r="AR29" i="2"/>
  <c r="AS29" i="2"/>
  <c r="AT29" i="2"/>
  <c r="AU29" i="2"/>
  <c r="AW29" i="2"/>
  <c r="AX29" i="2"/>
  <c r="AY29" i="2"/>
  <c r="AZ29" i="2"/>
  <c r="BA29" i="2"/>
  <c r="BB29" i="2"/>
  <c r="BC29" i="2"/>
  <c r="BE29" i="2"/>
  <c r="BF29" i="2"/>
  <c r="BG29" i="2"/>
  <c r="BH29" i="2"/>
  <c r="BI29" i="2"/>
  <c r="BJ29" i="2"/>
  <c r="BK29" i="2"/>
  <c r="AU11" i="2"/>
  <c r="AQ11" i="2"/>
  <c r="AR11" i="2"/>
  <c r="AS11" i="2"/>
  <c r="AT11" i="2"/>
  <c r="AP11" i="2"/>
  <c r="AY11" i="2"/>
  <c r="AZ11" i="2"/>
  <c r="BA11" i="2"/>
  <c r="BB11" i="2"/>
  <c r="BC11" i="2"/>
  <c r="AX11" i="2"/>
  <c r="BM11" i="2"/>
  <c r="BG11" i="2"/>
  <c r="BH11" i="2"/>
  <c r="BI11" i="2"/>
  <c r="BJ11" i="2"/>
  <c r="BK11" i="2"/>
  <c r="BE11" i="2"/>
  <c r="BF11" i="2"/>
  <c r="CC75" i="1" l="1"/>
  <c r="CC60" i="1"/>
  <c r="BW111" i="2" s="1"/>
  <c r="CB60" i="1"/>
  <c r="BW82" i="2"/>
  <c r="BW58" i="2"/>
  <c r="BW128" i="2" s="1"/>
  <c r="BW22" i="2"/>
  <c r="BV22" i="2"/>
  <c r="BV120" i="2" s="1"/>
  <c r="BV82" i="2" l="1"/>
  <c r="CB75" i="1"/>
  <c r="BV58" i="2"/>
  <c r="BV128" i="2" s="1"/>
  <c r="BV111" i="2"/>
  <c r="CB117" i="2" l="1"/>
  <c r="CA117" i="2"/>
  <c r="CG35" i="1" s="1"/>
  <c r="BZ117" i="2"/>
  <c r="CF35" i="1" s="1"/>
  <c r="BY117" i="2"/>
  <c r="CE35" i="1" s="1"/>
  <c r="BX117" i="2"/>
  <c r="CD35" i="1" s="1"/>
  <c r="BW117" i="2"/>
  <c r="CC35" i="1" s="1"/>
  <c r="BV117" i="2"/>
  <c r="CB35" i="1" s="1"/>
  <c r="CB116" i="2"/>
  <c r="CH34" i="1" s="1"/>
  <c r="CA116" i="2"/>
  <c r="BZ116" i="2"/>
  <c r="CF34" i="1" s="1"/>
  <c r="BY116" i="2"/>
  <c r="CE34" i="1" s="1"/>
  <c r="BX116" i="2"/>
  <c r="CD34" i="1" s="1"/>
  <c r="BW116" i="2"/>
  <c r="CC34" i="1" s="1"/>
  <c r="BV116" i="2"/>
  <c r="CB34" i="1" s="1"/>
  <c r="CB115" i="2"/>
  <c r="CH33" i="1" s="1"/>
  <c r="CA115" i="2"/>
  <c r="CG33" i="1" s="1"/>
  <c r="BZ115" i="2"/>
  <c r="CF33" i="1" s="1"/>
  <c r="BY115" i="2"/>
  <c r="CE33" i="1" s="1"/>
  <c r="BX115" i="2"/>
  <c r="CD33" i="1" s="1"/>
  <c r="BW115" i="2"/>
  <c r="CC33" i="1" s="1"/>
  <c r="BV115" i="2"/>
  <c r="CB33" i="1" s="1"/>
  <c r="CA114" i="2"/>
  <c r="CG32" i="1" s="1"/>
  <c r="BZ114" i="2"/>
  <c r="CF32" i="1" s="1"/>
  <c r="BY114" i="2"/>
  <c r="CE32" i="1" s="1"/>
  <c r="BX114" i="2"/>
  <c r="CD32" i="1" s="1"/>
  <c r="BW114" i="2"/>
  <c r="CC32" i="1" s="1"/>
  <c r="BV114" i="2"/>
  <c r="CB32" i="1" s="1"/>
  <c r="CB113" i="2"/>
  <c r="CH31" i="1" s="1"/>
  <c r="CA113" i="2"/>
  <c r="BZ113" i="2"/>
  <c r="CF31" i="1" s="1"/>
  <c r="BY113" i="2"/>
  <c r="CE31" i="1" s="1"/>
  <c r="BX113" i="2"/>
  <c r="CD31" i="1" s="1"/>
  <c r="BW113" i="2"/>
  <c r="CC31" i="1" s="1"/>
  <c r="BV113" i="2"/>
  <c r="CB31" i="1" s="1"/>
  <c r="CB111" i="2"/>
  <c r="CH30" i="1" s="1"/>
  <c r="CA111" i="2"/>
  <c r="CG30" i="1" s="1"/>
  <c r="BY111" i="2"/>
  <c r="CE30" i="1" s="1"/>
  <c r="BX111" i="2"/>
  <c r="CD30" i="1" s="1"/>
  <c r="CC30" i="1"/>
  <c r="CB110" i="2"/>
  <c r="CA110" i="2"/>
  <c r="BZ110" i="2"/>
  <c r="BY110" i="2"/>
  <c r="BX110" i="2"/>
  <c r="BW110" i="2"/>
  <c r="BV110" i="2"/>
  <c r="CB109" i="2"/>
  <c r="CA109" i="2"/>
  <c r="CG28" i="1" s="1"/>
  <c r="BZ109" i="2"/>
  <c r="CF28" i="1" s="1"/>
  <c r="CE28" i="1"/>
  <c r="BX109" i="2"/>
  <c r="CD28" i="1" s="1"/>
  <c r="BW109" i="2"/>
  <c r="CC28" i="1" s="1"/>
  <c r="BV109" i="2"/>
  <c r="CB28" i="1" s="1"/>
  <c r="CB107" i="2"/>
  <c r="CH26" i="1" s="1"/>
  <c r="BX107" i="2"/>
  <c r="CD26" i="1" s="1"/>
  <c r="CB106" i="2"/>
  <c r="CH25" i="1" s="1"/>
  <c r="CA106" i="2"/>
  <c r="CG25" i="1" s="1"/>
  <c r="BZ106" i="2"/>
  <c r="CF25" i="1" s="1"/>
  <c r="BY106" i="2"/>
  <c r="CE25" i="1" s="1"/>
  <c r="BX106" i="2"/>
  <c r="CD25" i="1" s="1"/>
  <c r="BW106" i="2"/>
  <c r="CC25" i="1" s="1"/>
  <c r="BV106" i="2"/>
  <c r="CB25" i="1" s="1"/>
  <c r="CB105" i="2"/>
  <c r="CH24" i="1" s="1"/>
  <c r="CA105" i="2"/>
  <c r="CG24" i="1" s="1"/>
  <c r="BZ105" i="2"/>
  <c r="CF24" i="1" s="1"/>
  <c r="BY105" i="2"/>
  <c r="CE24" i="1" s="1"/>
  <c r="BX105" i="2"/>
  <c r="CD24" i="1" s="1"/>
  <c r="CC24" i="1"/>
  <c r="BV105" i="2"/>
  <c r="CB24" i="1" s="1"/>
  <c r="CB104" i="2"/>
  <c r="CA104" i="2"/>
  <c r="CA122" i="2" s="1"/>
  <c r="BZ104" i="2"/>
  <c r="BZ122" i="2" s="1"/>
  <c r="BY104" i="2"/>
  <c r="BX104" i="2"/>
  <c r="BW104" i="2"/>
  <c r="BW122" i="2" s="1"/>
  <c r="BV104" i="2"/>
  <c r="BV122" i="2" s="1"/>
  <c r="BV88" i="2"/>
  <c r="BV87" i="2"/>
  <c r="CC86" i="2"/>
  <c r="CC85" i="2"/>
  <c r="CC82" i="2"/>
  <c r="CB63" i="2"/>
  <c r="CA63" i="2"/>
  <c r="BZ63" i="2"/>
  <c r="BY63" i="2"/>
  <c r="BX63" i="2"/>
  <c r="BW63" i="2"/>
  <c r="BV63" i="2"/>
  <c r="CB62" i="2"/>
  <c r="BY62" i="2"/>
  <c r="BX62" i="2"/>
  <c r="CC61" i="2"/>
  <c r="CC60" i="2"/>
  <c r="CC59" i="2"/>
  <c r="CA107" i="2"/>
  <c r="CG26" i="1" s="1"/>
  <c r="BZ107" i="2"/>
  <c r="CF26" i="1" s="1"/>
  <c r="BY107" i="2"/>
  <c r="CE26" i="1" s="1"/>
  <c r="BW107" i="2"/>
  <c r="CC26" i="1" s="1"/>
  <c r="BV107" i="2"/>
  <c r="CB26" i="1" s="1"/>
  <c r="CB55" i="2"/>
  <c r="CA55" i="2"/>
  <c r="BZ55" i="2"/>
  <c r="BY55" i="2"/>
  <c r="BX55" i="2"/>
  <c r="BW55" i="2"/>
  <c r="BV55" i="2"/>
  <c r="BV125" i="2" s="1"/>
  <c r="CB54" i="2"/>
  <c r="CH47" i="1" s="1"/>
  <c r="CA54" i="2"/>
  <c r="CG47" i="1" s="1"/>
  <c r="BZ54" i="2"/>
  <c r="CF47" i="1" s="1"/>
  <c r="BY54" i="2"/>
  <c r="CE47" i="1" s="1"/>
  <c r="BX54" i="2"/>
  <c r="CD47" i="1" s="1"/>
  <c r="BW54" i="2"/>
  <c r="CC47" i="1" s="1"/>
  <c r="BV54" i="2"/>
  <c r="CB47" i="1" s="1"/>
  <c r="CB53" i="2"/>
  <c r="CH48" i="1" s="1"/>
  <c r="CA53" i="2"/>
  <c r="CG48" i="1" s="1"/>
  <c r="BZ53" i="2"/>
  <c r="CF48" i="1" s="1"/>
  <c r="BY53" i="2"/>
  <c r="CE48" i="1" s="1"/>
  <c r="BX53" i="2"/>
  <c r="CD48" i="1" s="1"/>
  <c r="BW53" i="2"/>
  <c r="CC48" i="1" s="1"/>
  <c r="BV53" i="2"/>
  <c r="CB48" i="1" s="1"/>
  <c r="CB52" i="2"/>
  <c r="CH49" i="1" s="1"/>
  <c r="CA52" i="2"/>
  <c r="CG49" i="1" s="1"/>
  <c r="BZ52" i="2"/>
  <c r="CF49" i="1" s="1"/>
  <c r="BY52" i="2"/>
  <c r="CE49" i="1" s="1"/>
  <c r="BX52" i="2"/>
  <c r="CD49" i="1" s="1"/>
  <c r="BW52" i="2"/>
  <c r="CC49" i="1" s="1"/>
  <c r="BV52" i="2"/>
  <c r="CB49" i="1" s="1"/>
  <c r="CB51" i="2"/>
  <c r="CA51" i="2"/>
  <c r="BZ51" i="2"/>
  <c r="BY51" i="2"/>
  <c r="BX51" i="2"/>
  <c r="BW51" i="2"/>
  <c r="BV51" i="2"/>
  <c r="CB50" i="2"/>
  <c r="CH38" i="1" s="1"/>
  <c r="CA50" i="2"/>
  <c r="CG38" i="1" s="1"/>
  <c r="BZ50" i="2"/>
  <c r="CF38" i="1" s="1"/>
  <c r="BY50" i="2"/>
  <c r="CE38" i="1" s="1"/>
  <c r="BX50" i="2"/>
  <c r="CD38" i="1" s="1"/>
  <c r="BW50" i="2"/>
  <c r="CC38" i="1" s="1"/>
  <c r="BV50" i="2"/>
  <c r="CB38" i="1" s="1"/>
  <c r="CB49" i="2"/>
  <c r="CH51" i="1" s="1"/>
  <c r="CA49" i="2"/>
  <c r="CG51" i="1" s="1"/>
  <c r="BZ49" i="2"/>
  <c r="CF51" i="1" s="1"/>
  <c r="BY49" i="2"/>
  <c r="CE51" i="1" s="1"/>
  <c r="BX49" i="2"/>
  <c r="CD51" i="1" s="1"/>
  <c r="BW49" i="2"/>
  <c r="CC51" i="1" s="1"/>
  <c r="BV49" i="2"/>
  <c r="CB51" i="1" s="1"/>
  <c r="CC46" i="2"/>
  <c r="CC45" i="2"/>
  <c r="CC44" i="2"/>
  <c r="CC43" i="2"/>
  <c r="CC42" i="2"/>
  <c r="CC41" i="2"/>
  <c r="CC40" i="2"/>
  <c r="CC39" i="2"/>
  <c r="BY36" i="2"/>
  <c r="BY37" i="2" s="1"/>
  <c r="CB35" i="2"/>
  <c r="CA35" i="2"/>
  <c r="BZ35" i="2"/>
  <c r="BY35" i="2"/>
  <c r="BX35" i="2"/>
  <c r="BW35" i="2"/>
  <c r="BV35" i="2"/>
  <c r="CB34" i="2"/>
  <c r="CA34" i="2"/>
  <c r="BZ34" i="2"/>
  <c r="BY34" i="2"/>
  <c r="BX34" i="2"/>
  <c r="BW34" i="2"/>
  <c r="BV34" i="2"/>
  <c r="CB32" i="2"/>
  <c r="CA32" i="2"/>
  <c r="BZ32" i="2"/>
  <c r="BY32" i="2"/>
  <c r="BX32" i="2"/>
  <c r="BW32" i="2"/>
  <c r="BV32" i="2"/>
  <c r="CB31" i="2"/>
  <c r="CA31" i="2"/>
  <c r="BZ31" i="2"/>
  <c r="BY31" i="2"/>
  <c r="BX31" i="2"/>
  <c r="BW31" i="2"/>
  <c r="BV31" i="2"/>
  <c r="CB30" i="2"/>
  <c r="CA30" i="2"/>
  <c r="BX30" i="2"/>
  <c r="BW30" i="2"/>
  <c r="CB29" i="2"/>
  <c r="CH44" i="1" s="1"/>
  <c r="CA29" i="2"/>
  <c r="CG44" i="1" s="1"/>
  <c r="BZ29" i="2"/>
  <c r="CF44" i="1" s="1"/>
  <c r="BY29" i="2"/>
  <c r="CE44" i="1" s="1"/>
  <c r="BX29" i="2"/>
  <c r="CD44" i="1" s="1"/>
  <c r="BW29" i="2"/>
  <c r="CC44" i="1" s="1"/>
  <c r="BV29" i="2"/>
  <c r="CB44" i="1" s="1"/>
  <c r="CB28" i="2"/>
  <c r="CH40" i="1" s="1"/>
  <c r="CA28" i="2"/>
  <c r="CG40" i="1" s="1"/>
  <c r="BZ28" i="2"/>
  <c r="CF40" i="1" s="1"/>
  <c r="BY28" i="2"/>
  <c r="CE40" i="1" s="1"/>
  <c r="BX28" i="2"/>
  <c r="CD40" i="1" s="1"/>
  <c r="BW28" i="2"/>
  <c r="CC40" i="1" s="1"/>
  <c r="BV28" i="2"/>
  <c r="CB40" i="1" s="1"/>
  <c r="CC27" i="2"/>
  <c r="CC26" i="2"/>
  <c r="CC25" i="2"/>
  <c r="CC24" i="2"/>
  <c r="CC23" i="2"/>
  <c r="CB36" i="2"/>
  <c r="CB37" i="2" s="1"/>
  <c r="CA36" i="2"/>
  <c r="CA37" i="2" s="1"/>
  <c r="BZ30" i="2"/>
  <c r="BY33" i="2"/>
  <c r="BX36" i="2"/>
  <c r="BX37" i="2" s="1"/>
  <c r="BW36" i="2"/>
  <c r="BW37" i="2" s="1"/>
  <c r="BV30" i="2"/>
  <c r="CC21" i="2"/>
  <c r="CB18" i="2"/>
  <c r="CB19" i="2" s="1"/>
  <c r="CB119" i="2" s="1"/>
  <c r="CA18" i="2"/>
  <c r="CA19" i="2" s="1"/>
  <c r="BZ18" i="2"/>
  <c r="BZ19" i="2" s="1"/>
  <c r="BY18" i="2"/>
  <c r="BY19" i="2" s="1"/>
  <c r="BX18" i="2"/>
  <c r="BX19" i="2" s="1"/>
  <c r="BX119" i="2" s="1"/>
  <c r="BW18" i="2"/>
  <c r="BW19" i="2" s="1"/>
  <c r="BW119" i="2" s="1"/>
  <c r="BV18" i="2"/>
  <c r="BV19" i="2" s="1"/>
  <c r="CB17" i="2"/>
  <c r="CA17" i="2"/>
  <c r="BZ17" i="2"/>
  <c r="BY17" i="2"/>
  <c r="BX17" i="2"/>
  <c r="BW17" i="2"/>
  <c r="BV17" i="2"/>
  <c r="CB16" i="2"/>
  <c r="CA16" i="2"/>
  <c r="BZ16" i="2"/>
  <c r="BY16" i="2"/>
  <c r="BX16" i="2"/>
  <c r="BW16" i="2"/>
  <c r="BV16" i="2"/>
  <c r="CB15" i="2"/>
  <c r="CA15" i="2"/>
  <c r="BZ15" i="2"/>
  <c r="BY15" i="2"/>
  <c r="BX15" i="2"/>
  <c r="BW15" i="2"/>
  <c r="BV15" i="2"/>
  <c r="CB14" i="2"/>
  <c r="CA14" i="2"/>
  <c r="BZ14" i="2"/>
  <c r="BY14" i="2"/>
  <c r="BX14" i="2"/>
  <c r="BW14" i="2"/>
  <c r="BV14" i="2"/>
  <c r="CB13" i="2"/>
  <c r="CA13" i="2"/>
  <c r="BZ13" i="2"/>
  <c r="BY13" i="2"/>
  <c r="BX13" i="2"/>
  <c r="BW13" i="2"/>
  <c r="BV13" i="2"/>
  <c r="CB12" i="2"/>
  <c r="CA12" i="2"/>
  <c r="BZ12" i="2"/>
  <c r="BY12" i="2"/>
  <c r="BX12" i="2"/>
  <c r="BW12" i="2"/>
  <c r="BV12" i="2"/>
  <c r="CB11" i="2"/>
  <c r="CH43" i="1" s="1"/>
  <c r="CA11" i="2"/>
  <c r="CG43" i="1" s="1"/>
  <c r="BZ11" i="2"/>
  <c r="CF43" i="1" s="1"/>
  <c r="BY11" i="2"/>
  <c r="CE43" i="1" s="1"/>
  <c r="BX11" i="2"/>
  <c r="CD43" i="1" s="1"/>
  <c r="BW11" i="2"/>
  <c r="CC43" i="1" s="1"/>
  <c r="BV11" i="2"/>
  <c r="CB43" i="1" s="1"/>
  <c r="CB10" i="2"/>
  <c r="CH39" i="1" s="1"/>
  <c r="CA10" i="2"/>
  <c r="CG39" i="1" s="1"/>
  <c r="BZ10" i="2"/>
  <c r="CF39" i="1" s="1"/>
  <c r="BY10" i="2"/>
  <c r="CE39" i="1" s="1"/>
  <c r="BX10" i="2"/>
  <c r="CD39" i="1" s="1"/>
  <c r="BW10" i="2"/>
  <c r="CC39" i="1" s="1"/>
  <c r="BV10" i="2"/>
  <c r="CB39" i="1" s="1"/>
  <c r="CC9" i="2"/>
  <c r="CC8" i="2"/>
  <c r="CC7" i="2"/>
  <c r="CC6" i="2"/>
  <c r="CC5" i="2"/>
  <c r="CC4" i="2"/>
  <c r="CC3" i="2"/>
  <c r="CI91" i="1"/>
  <c r="CI90" i="1"/>
  <c r="CI87" i="1"/>
  <c r="CI86" i="1"/>
  <c r="CI83" i="1"/>
  <c r="CI82" i="1"/>
  <c r="CI81" i="1"/>
  <c r="CI78" i="1"/>
  <c r="CI77" i="1"/>
  <c r="CI76" i="1"/>
  <c r="CI75" i="1"/>
  <c r="CI74" i="1"/>
  <c r="CI73" i="1"/>
  <c r="CI72" i="1"/>
  <c r="CI71" i="1"/>
  <c r="CI70" i="1"/>
  <c r="CI67" i="1"/>
  <c r="CI66" i="1"/>
  <c r="CI65" i="1"/>
  <c r="CI64" i="1"/>
  <c r="CI63" i="1"/>
  <c r="CI60" i="1"/>
  <c r="CI59" i="1"/>
  <c r="CI58" i="1"/>
  <c r="CI57" i="1"/>
  <c r="CI56" i="1"/>
  <c r="CI53" i="1"/>
  <c r="CH52" i="1"/>
  <c r="CG52" i="1"/>
  <c r="CF52" i="1"/>
  <c r="CE52" i="1"/>
  <c r="CD52" i="1"/>
  <c r="CC52" i="1"/>
  <c r="CB52" i="1"/>
  <c r="CI50" i="1"/>
  <c r="CH35" i="1"/>
  <c r="CG34" i="1"/>
  <c r="CH32" i="1"/>
  <c r="CG31" i="1"/>
  <c r="CF30" i="1"/>
  <c r="CB30" i="1"/>
  <c r="CH29" i="1"/>
  <c r="CG29" i="1"/>
  <c r="CF29" i="1"/>
  <c r="CE29" i="1"/>
  <c r="CD29" i="1"/>
  <c r="CC29" i="1"/>
  <c r="CB29" i="1"/>
  <c r="CH28" i="1"/>
  <c r="CI27" i="1"/>
  <c r="CH20" i="1"/>
  <c r="CG20" i="1"/>
  <c r="CF20" i="1"/>
  <c r="CE20" i="1"/>
  <c r="CD20" i="1"/>
  <c r="CC20" i="1"/>
  <c r="CB20" i="1"/>
  <c r="CH19" i="1"/>
  <c r="CG19" i="1"/>
  <c r="CF19" i="1"/>
  <c r="CE19" i="1"/>
  <c r="CD19" i="1"/>
  <c r="CC19" i="1"/>
  <c r="CB19" i="1"/>
  <c r="CI18" i="1"/>
  <c r="CH17" i="1"/>
  <c r="CG17" i="1"/>
  <c r="CF17" i="1"/>
  <c r="CE17" i="1"/>
  <c r="CD17" i="1"/>
  <c r="CC17" i="1"/>
  <c r="CB17" i="1"/>
  <c r="CH16" i="1"/>
  <c r="CG16" i="1"/>
  <c r="CF16" i="1"/>
  <c r="CE16" i="1"/>
  <c r="CD16" i="1"/>
  <c r="CC16" i="1"/>
  <c r="CB16" i="1"/>
  <c r="CH13" i="1"/>
  <c r="CG13" i="1"/>
  <c r="CF13" i="1"/>
  <c r="CD13" i="1"/>
  <c r="CC13" i="1"/>
  <c r="CB13" i="1"/>
  <c r="CH12" i="1"/>
  <c r="CG12" i="1"/>
  <c r="CF12" i="1"/>
  <c r="CE12" i="1"/>
  <c r="CD12" i="1"/>
  <c r="CC12" i="1"/>
  <c r="CB12" i="1"/>
  <c r="CH11" i="1"/>
  <c r="CG11" i="1"/>
  <c r="CF11" i="1"/>
  <c r="CE11" i="1"/>
  <c r="CD11" i="1"/>
  <c r="CC11" i="1"/>
  <c r="CB11" i="1"/>
  <c r="CH10" i="1"/>
  <c r="CG10" i="1"/>
  <c r="CF10" i="1"/>
  <c r="CE10" i="1"/>
  <c r="CD10" i="1"/>
  <c r="CC10" i="1"/>
  <c r="CB10" i="1"/>
  <c r="CA119" i="2" l="1"/>
  <c r="BY119" i="2"/>
  <c r="CC23" i="1"/>
  <c r="CG23" i="1"/>
  <c r="BV56" i="2"/>
  <c r="BV124" i="2" s="1"/>
  <c r="BY56" i="2"/>
  <c r="BY125" i="2"/>
  <c r="CF23" i="1"/>
  <c r="BZ56" i="2"/>
  <c r="BZ125" i="2"/>
  <c r="BW56" i="2"/>
  <c r="BW125" i="2"/>
  <c r="CA56" i="2"/>
  <c r="CA125" i="2"/>
  <c r="CD23" i="1"/>
  <c r="BX122" i="2"/>
  <c r="CH23" i="1"/>
  <c r="CB122" i="2"/>
  <c r="CB23" i="1"/>
  <c r="BX56" i="2"/>
  <c r="BX125" i="2"/>
  <c r="CB56" i="2"/>
  <c r="CB125" i="2"/>
  <c r="CE23" i="1"/>
  <c r="BY122" i="2"/>
  <c r="CI43" i="1"/>
  <c r="CI49" i="1"/>
  <c r="CI20" i="1"/>
  <c r="CI13" i="1"/>
  <c r="CI25" i="1"/>
  <c r="CI24" i="1"/>
  <c r="CI44" i="1"/>
  <c r="CI26" i="1"/>
  <c r="CI40" i="1"/>
  <c r="BV33" i="2"/>
  <c r="CI30" i="1"/>
  <c r="BZ33" i="2"/>
  <c r="CI19" i="1"/>
  <c r="BW33" i="2"/>
  <c r="CA33" i="2"/>
  <c r="BV36" i="2"/>
  <c r="BV37" i="2" s="1"/>
  <c r="BV119" i="2" s="1"/>
  <c r="BZ36" i="2"/>
  <c r="BZ37" i="2" s="1"/>
  <c r="BZ119" i="2" s="1"/>
  <c r="CI34" i="1"/>
  <c r="CI29" i="1"/>
  <c r="CI33" i="1"/>
  <c r="CI39" i="1"/>
  <c r="CI47" i="1"/>
  <c r="CI11" i="1"/>
  <c r="CI17" i="1"/>
  <c r="CI28" i="1"/>
  <c r="CI32" i="1"/>
  <c r="CI38" i="1"/>
  <c r="BY30" i="2"/>
  <c r="BX33" i="2"/>
  <c r="CB33" i="2"/>
  <c r="CC58" i="2"/>
  <c r="BV62" i="2"/>
  <c r="BZ62" i="2"/>
  <c r="CI48" i="1"/>
  <c r="CI12" i="1"/>
  <c r="CI10" i="1"/>
  <c r="CI16" i="1"/>
  <c r="CI31" i="1"/>
  <c r="CI35" i="1"/>
  <c r="CI51" i="1"/>
  <c r="CC22" i="2"/>
  <c r="BW62" i="2"/>
  <c r="CA62" i="2"/>
  <c r="BZ72" i="1"/>
  <c r="BS82" i="2"/>
  <c r="BR82" i="2"/>
  <c r="BQ82" i="2"/>
  <c r="BV126" i="2" l="1"/>
  <c r="CI23" i="1"/>
  <c r="BX126" i="2"/>
  <c r="BX124" i="2"/>
  <c r="BW126" i="2"/>
  <c r="BW124" i="2"/>
  <c r="BY124" i="2"/>
  <c r="BY126" i="2"/>
  <c r="CB126" i="2"/>
  <c r="CB124" i="2"/>
  <c r="CA126" i="2"/>
  <c r="CA124" i="2"/>
  <c r="BZ124" i="2"/>
  <c r="BZ126" i="2"/>
  <c r="BY75" i="1"/>
  <c r="BX75" i="1"/>
  <c r="BW75" i="1"/>
  <c r="BX66" i="1"/>
  <c r="BY66" i="1"/>
  <c r="BW66" i="1"/>
  <c r="BW60" i="1"/>
  <c r="BX60" i="1"/>
  <c r="BY60" i="1"/>
  <c r="BS58" i="2"/>
  <c r="BS128" i="2" s="1"/>
  <c r="BR58" i="2"/>
  <c r="BR128" i="2" s="1"/>
  <c r="BQ58" i="2"/>
  <c r="BQ128" i="2" s="1"/>
  <c r="BR22" i="2"/>
  <c r="BR120" i="2" s="1"/>
  <c r="BS22" i="2"/>
  <c r="BS120" i="2" s="1"/>
  <c r="BQ22" i="2"/>
  <c r="BQ120" i="2" s="1"/>
  <c r="E5" i="3" l="1"/>
  <c r="D5" i="3"/>
  <c r="C5" i="3"/>
  <c r="G5" i="3"/>
  <c r="G16" i="3" l="1"/>
  <c r="C16" i="3"/>
  <c r="D4" i="3"/>
  <c r="D16" i="3" s="1"/>
  <c r="C4" i="3"/>
  <c r="E4" i="3" s="1"/>
  <c r="E16" i="3" s="1"/>
  <c r="BU75" i="1" l="1"/>
  <c r="BV75" i="1"/>
  <c r="BU60" i="1"/>
  <c r="BV60" i="1"/>
  <c r="BT85" i="2" l="1"/>
  <c r="BT86" i="2"/>
  <c r="BT84" i="2"/>
  <c r="BT61" i="2"/>
  <c r="BT60" i="2"/>
  <c r="BT59" i="2"/>
  <c r="BT46" i="2"/>
  <c r="BT45" i="2"/>
  <c r="BT44" i="2"/>
  <c r="BT43" i="2"/>
  <c r="BT42" i="2"/>
  <c r="BT41" i="2"/>
  <c r="BT40" i="2"/>
  <c r="BT39" i="2"/>
  <c r="BT27" i="2"/>
  <c r="BT26" i="2"/>
  <c r="BT25" i="2"/>
  <c r="BT24" i="2"/>
  <c r="BT23" i="2"/>
  <c r="BT21" i="2"/>
  <c r="BT4" i="2"/>
  <c r="BT5" i="2"/>
  <c r="BT6" i="2"/>
  <c r="BT7" i="2"/>
  <c r="BT8" i="2"/>
  <c r="BT9" i="2"/>
  <c r="BT3" i="2"/>
  <c r="BP82" i="2" l="1"/>
  <c r="BP58" i="2"/>
  <c r="BP128" i="2" s="1"/>
  <c r="BO58" i="2"/>
  <c r="BO128" i="2" s="1"/>
  <c r="BP22" i="2"/>
  <c r="BP120" i="2" s="1"/>
  <c r="BT52" i="1" l="1"/>
  <c r="BU52" i="1"/>
  <c r="BV52" i="1"/>
  <c r="BW52" i="1"/>
  <c r="BX52" i="1"/>
  <c r="BY52" i="1"/>
  <c r="BS52" i="1"/>
  <c r="BM49" i="2"/>
  <c r="BS51" i="1" s="1"/>
  <c r="BS43" i="1"/>
  <c r="BS10" i="2"/>
  <c r="BY39" i="1" s="1"/>
  <c r="BS11" i="2"/>
  <c r="BY43" i="1" s="1"/>
  <c r="BN10" i="2"/>
  <c r="BT39" i="1" s="1"/>
  <c r="BO10" i="2"/>
  <c r="BU39" i="1" s="1"/>
  <c r="BP10" i="2"/>
  <c r="BV39" i="1" s="1"/>
  <c r="BQ10" i="2"/>
  <c r="BW39" i="1" s="1"/>
  <c r="BR10" i="2"/>
  <c r="BX39" i="1" s="1"/>
  <c r="BN11" i="2"/>
  <c r="BT43" i="1" s="1"/>
  <c r="BO11" i="2"/>
  <c r="BU43" i="1" s="1"/>
  <c r="BP11" i="2"/>
  <c r="BV43" i="1" s="1"/>
  <c r="BQ11" i="2"/>
  <c r="BW43" i="1" s="1"/>
  <c r="BR11" i="2"/>
  <c r="BX43" i="1" s="1"/>
  <c r="BM10" i="2"/>
  <c r="BS39" i="1" s="1"/>
  <c r="BN29" i="2"/>
  <c r="BT44" i="1" s="1"/>
  <c r="BO29" i="2"/>
  <c r="BU44" i="1" s="1"/>
  <c r="BP29" i="2"/>
  <c r="BV44" i="1" s="1"/>
  <c r="BQ29" i="2"/>
  <c r="BW44" i="1" s="1"/>
  <c r="BR29" i="2"/>
  <c r="BX44" i="1" s="1"/>
  <c r="BS29" i="2"/>
  <c r="BY44" i="1" s="1"/>
  <c r="BM29" i="2"/>
  <c r="BS44" i="1" s="1"/>
  <c r="BN28" i="2"/>
  <c r="BT40" i="1" s="1"/>
  <c r="BO28" i="2"/>
  <c r="BU40" i="1" s="1"/>
  <c r="BP28" i="2"/>
  <c r="BV40" i="1" s="1"/>
  <c r="BQ28" i="2"/>
  <c r="BW40" i="1" s="1"/>
  <c r="BR28" i="2"/>
  <c r="BX40" i="1" s="1"/>
  <c r="BS28" i="2"/>
  <c r="BY40" i="1" s="1"/>
  <c r="BM28" i="2"/>
  <c r="BS40" i="1" s="1"/>
  <c r="BN50" i="2"/>
  <c r="BT38" i="1" s="1"/>
  <c r="BO50" i="2"/>
  <c r="BU38" i="1" s="1"/>
  <c r="BP50" i="2"/>
  <c r="BV38" i="1" s="1"/>
  <c r="BQ50" i="2"/>
  <c r="BW38" i="1" s="1"/>
  <c r="BR50" i="2"/>
  <c r="BX38" i="1" s="1"/>
  <c r="BS50" i="2"/>
  <c r="BY38" i="1" s="1"/>
  <c r="BM50" i="2"/>
  <c r="BS38" i="1" s="1"/>
  <c r="BT12" i="1"/>
  <c r="BU12" i="1"/>
  <c r="BV12" i="1"/>
  <c r="BW12" i="1"/>
  <c r="BX12" i="1"/>
  <c r="BY12" i="1"/>
  <c r="BT13" i="1"/>
  <c r="BU13" i="1"/>
  <c r="BV13" i="1"/>
  <c r="BW13" i="1"/>
  <c r="BX13" i="1"/>
  <c r="BY13" i="1"/>
  <c r="BS13" i="1"/>
  <c r="BS12" i="1"/>
  <c r="BT11" i="1"/>
  <c r="BU11" i="1"/>
  <c r="BV11" i="1"/>
  <c r="BW11" i="1"/>
  <c r="BX11" i="1"/>
  <c r="BY11" i="1"/>
  <c r="BS11" i="1"/>
  <c r="BY10" i="1"/>
  <c r="BT10" i="1"/>
  <c r="BU10" i="1"/>
  <c r="BV10" i="1"/>
  <c r="BW10" i="1"/>
  <c r="BX10" i="1"/>
  <c r="BS10" i="1"/>
  <c r="BT29" i="1"/>
  <c r="BU29" i="1"/>
  <c r="BV29" i="1"/>
  <c r="BW29" i="1"/>
  <c r="BX29" i="1"/>
  <c r="BY29" i="1"/>
  <c r="BY32" i="1"/>
  <c r="BS29" i="1"/>
  <c r="BT20" i="1"/>
  <c r="BU20" i="1"/>
  <c r="BV20" i="1"/>
  <c r="BW20" i="1"/>
  <c r="BX20" i="1"/>
  <c r="BY20" i="1"/>
  <c r="BS20" i="1"/>
  <c r="BY19" i="1"/>
  <c r="BT19" i="1"/>
  <c r="BU19" i="1"/>
  <c r="BV19" i="1"/>
  <c r="BW19" i="1"/>
  <c r="BX19" i="1"/>
  <c r="BS19" i="1"/>
  <c r="BT17" i="1"/>
  <c r="BU17" i="1"/>
  <c r="BV17" i="1"/>
  <c r="BW17" i="1"/>
  <c r="BX17" i="1"/>
  <c r="BY17" i="1"/>
  <c r="BS17" i="1"/>
  <c r="BV16" i="1"/>
  <c r="BW16" i="1"/>
  <c r="BX16" i="1"/>
  <c r="BY16" i="1"/>
  <c r="BO117" i="2"/>
  <c r="BU35" i="1" s="1"/>
  <c r="BP117" i="2"/>
  <c r="BV35" i="1" s="1"/>
  <c r="BQ117" i="2"/>
  <c r="BW35" i="1" s="1"/>
  <c r="BR117" i="2"/>
  <c r="BX35" i="1" s="1"/>
  <c r="BS117" i="2"/>
  <c r="BY35" i="1" s="1"/>
  <c r="BN116" i="2"/>
  <c r="BT34" i="1" s="1"/>
  <c r="BO116" i="2"/>
  <c r="BU34" i="1" s="1"/>
  <c r="BP116" i="2"/>
  <c r="BV34" i="1" s="1"/>
  <c r="BQ116" i="2"/>
  <c r="BW34" i="1" s="1"/>
  <c r="BR116" i="2"/>
  <c r="BX34" i="1" s="1"/>
  <c r="BS116" i="2"/>
  <c r="BY34" i="1" s="1"/>
  <c r="BM116" i="2"/>
  <c r="BS34" i="1" s="1"/>
  <c r="BN115" i="2"/>
  <c r="BT33" i="1" s="1"/>
  <c r="BO115" i="2"/>
  <c r="BU33" i="1" s="1"/>
  <c r="BP115" i="2"/>
  <c r="BV33" i="1" s="1"/>
  <c r="BQ115" i="2"/>
  <c r="BW33" i="1" s="1"/>
  <c r="BR115" i="2"/>
  <c r="BX33" i="1" s="1"/>
  <c r="BS115" i="2"/>
  <c r="BY33" i="1" s="1"/>
  <c r="BM115" i="2"/>
  <c r="BS33" i="1" s="1"/>
  <c r="BN114" i="2"/>
  <c r="BT32" i="1" s="1"/>
  <c r="BO114" i="2"/>
  <c r="BU32" i="1" s="1"/>
  <c r="BP114" i="2"/>
  <c r="BV32" i="1" s="1"/>
  <c r="BQ114" i="2"/>
  <c r="BW32" i="1" s="1"/>
  <c r="BR114" i="2"/>
  <c r="BX32" i="1" s="1"/>
  <c r="BM114" i="2"/>
  <c r="BS32" i="1" s="1"/>
  <c r="BN113" i="2"/>
  <c r="BT31" i="1" s="1"/>
  <c r="BO113" i="2"/>
  <c r="BU31" i="1" s="1"/>
  <c r="BP113" i="2"/>
  <c r="BV31" i="1" s="1"/>
  <c r="BQ113" i="2"/>
  <c r="BW31" i="1" s="1"/>
  <c r="BR113" i="2"/>
  <c r="BX31" i="1" s="1"/>
  <c r="BS113" i="2"/>
  <c r="BY31" i="1" s="1"/>
  <c r="BM113" i="2"/>
  <c r="BS31" i="1" s="1"/>
  <c r="BO111" i="2"/>
  <c r="BU30" i="1" s="1"/>
  <c r="BP111" i="2"/>
  <c r="BV30" i="1" s="1"/>
  <c r="BQ111" i="2"/>
  <c r="BW30" i="1" s="1"/>
  <c r="BR111" i="2"/>
  <c r="BX30" i="1" s="1"/>
  <c r="BS111" i="2"/>
  <c r="BY30" i="1" s="1"/>
  <c r="BN110" i="2"/>
  <c r="BO110" i="2"/>
  <c r="BP110" i="2"/>
  <c r="BQ110" i="2"/>
  <c r="BR110" i="2"/>
  <c r="BS110" i="2"/>
  <c r="BM110" i="2"/>
  <c r="BQ109" i="2"/>
  <c r="BW28" i="1" s="1"/>
  <c r="BR109" i="2"/>
  <c r="BX28" i="1" s="1"/>
  <c r="BS109" i="2"/>
  <c r="BY28" i="1" s="1"/>
  <c r="BN109" i="2"/>
  <c r="BT28" i="1" s="1"/>
  <c r="BO109" i="2"/>
  <c r="BU28" i="1" s="1"/>
  <c r="BP109" i="2"/>
  <c r="BV28" i="1" s="1"/>
  <c r="BM109" i="2"/>
  <c r="BS28" i="1" s="1"/>
  <c r="BN104" i="2"/>
  <c r="BO104" i="2"/>
  <c r="BP104" i="2"/>
  <c r="BQ104" i="2"/>
  <c r="BR104" i="2"/>
  <c r="BS104" i="2"/>
  <c r="BN105" i="2"/>
  <c r="BT24" i="1" s="1"/>
  <c r="BO105" i="2"/>
  <c r="BU24" i="1" s="1"/>
  <c r="BP105" i="2"/>
  <c r="BV24" i="1" s="1"/>
  <c r="BQ105" i="2"/>
  <c r="BW24" i="1" s="1"/>
  <c r="BR105" i="2"/>
  <c r="BX24" i="1" s="1"/>
  <c r="BS105" i="2"/>
  <c r="BY24" i="1" s="1"/>
  <c r="BS106" i="2"/>
  <c r="BY25" i="1" s="1"/>
  <c r="BN106" i="2"/>
  <c r="BT25" i="1" s="1"/>
  <c r="BO106" i="2"/>
  <c r="BU25" i="1" s="1"/>
  <c r="BP106" i="2"/>
  <c r="BV25" i="1" s="1"/>
  <c r="BQ106" i="2"/>
  <c r="BW25" i="1" s="1"/>
  <c r="BR106" i="2"/>
  <c r="BX25" i="1" s="1"/>
  <c r="BO107" i="2"/>
  <c r="BU26" i="1" s="1"/>
  <c r="BP107" i="2"/>
  <c r="BV26" i="1" s="1"/>
  <c r="BQ107" i="2"/>
  <c r="BW26" i="1" s="1"/>
  <c r="BR107" i="2"/>
  <c r="BX26" i="1" s="1"/>
  <c r="BS107" i="2"/>
  <c r="BY26" i="1" s="1"/>
  <c r="BM106" i="2"/>
  <c r="BS25" i="1" s="1"/>
  <c r="BM105" i="2"/>
  <c r="BS24" i="1" s="1"/>
  <c r="BM104" i="2"/>
  <c r="BM122" i="2" s="1"/>
  <c r="BS49" i="2"/>
  <c r="BY51" i="1" s="1"/>
  <c r="BR49" i="2"/>
  <c r="BX51" i="1" s="1"/>
  <c r="BQ49" i="2"/>
  <c r="BW51" i="1" s="1"/>
  <c r="BP49" i="2"/>
  <c r="BV51" i="1" s="1"/>
  <c r="BO49" i="2"/>
  <c r="BU51" i="1" s="1"/>
  <c r="BN49" i="2"/>
  <c r="BT51" i="1" s="1"/>
  <c r="BK49" i="2"/>
  <c r="BK50" i="2" s="1"/>
  <c r="BJ49" i="2"/>
  <c r="BJ50" i="2" s="1"/>
  <c r="BI49" i="2"/>
  <c r="BI50" i="2" s="1"/>
  <c r="BH49" i="2"/>
  <c r="BH50" i="2" s="1"/>
  <c r="BG49" i="2"/>
  <c r="BG50" i="2" s="1"/>
  <c r="BF49" i="2"/>
  <c r="BF50" i="2" s="1"/>
  <c r="BE49" i="2"/>
  <c r="BE50" i="2" s="1"/>
  <c r="BC49" i="2"/>
  <c r="BC50" i="2" s="1"/>
  <c r="BB49" i="2"/>
  <c r="BB50" i="2" s="1"/>
  <c r="BA49" i="2"/>
  <c r="BA50" i="2" s="1"/>
  <c r="AZ49" i="2"/>
  <c r="AZ50" i="2" s="1"/>
  <c r="AY49" i="2"/>
  <c r="AY50" i="2" s="1"/>
  <c r="AX49" i="2"/>
  <c r="AX50" i="2" s="1"/>
  <c r="AW49" i="2"/>
  <c r="AW50" i="2" s="1"/>
  <c r="AU49" i="2"/>
  <c r="AU50" i="2" s="1"/>
  <c r="AT49" i="2"/>
  <c r="AT50" i="2" s="1"/>
  <c r="AS49" i="2"/>
  <c r="AS50" i="2" s="1"/>
  <c r="AR49" i="2"/>
  <c r="AR50" i="2" s="1"/>
  <c r="AQ49" i="2"/>
  <c r="AQ50" i="2" s="1"/>
  <c r="AP49" i="2"/>
  <c r="AP50" i="2" s="1"/>
  <c r="AO49" i="2"/>
  <c r="AO50" i="2" s="1"/>
  <c r="AM49" i="2"/>
  <c r="AM50" i="2" s="1"/>
  <c r="AL49" i="2"/>
  <c r="AL50" i="2" s="1"/>
  <c r="AK49" i="2"/>
  <c r="AK50" i="2" s="1"/>
  <c r="AJ49" i="2"/>
  <c r="AJ50" i="2" s="1"/>
  <c r="AI49" i="2"/>
  <c r="AI50" i="2" s="1"/>
  <c r="AH49" i="2"/>
  <c r="AH50" i="2" s="1"/>
  <c r="AG49" i="2"/>
  <c r="AG50" i="2" s="1"/>
  <c r="AE49" i="2"/>
  <c r="AE50" i="2" s="1"/>
  <c r="AD49" i="2"/>
  <c r="AD50" i="2" s="1"/>
  <c r="AC49" i="2"/>
  <c r="AC50" i="2" s="1"/>
  <c r="AB49" i="2"/>
  <c r="AB50" i="2" s="1"/>
  <c r="AA49" i="2"/>
  <c r="AA50" i="2" s="1"/>
  <c r="Z49" i="2"/>
  <c r="Z50" i="2" s="1"/>
  <c r="Y49" i="2"/>
  <c r="Y50" i="2" s="1"/>
  <c r="W49" i="2"/>
  <c r="W50" i="2" s="1"/>
  <c r="V49" i="2"/>
  <c r="V50" i="2" s="1"/>
  <c r="U49" i="2"/>
  <c r="U50" i="2" s="1"/>
  <c r="T49" i="2"/>
  <c r="T50" i="2" s="1"/>
  <c r="S49" i="2"/>
  <c r="S50" i="2" s="1"/>
  <c r="R49" i="2"/>
  <c r="R50" i="2" s="1"/>
  <c r="Q49" i="2"/>
  <c r="Q50" i="2" s="1"/>
  <c r="O49" i="2"/>
  <c r="O50" i="2" s="1"/>
  <c r="N49" i="2"/>
  <c r="N50" i="2" s="1"/>
  <c r="M49" i="2"/>
  <c r="M50" i="2" s="1"/>
  <c r="L49" i="2"/>
  <c r="L50" i="2" s="1"/>
  <c r="K49" i="2"/>
  <c r="K50" i="2" s="1"/>
  <c r="J49" i="2"/>
  <c r="J50" i="2" s="1"/>
  <c r="I49" i="2"/>
  <c r="I50" i="2" s="1"/>
  <c r="BK10" i="2"/>
  <c r="AW11" i="2"/>
  <c r="AU10" i="2"/>
  <c r="AO11" i="2"/>
  <c r="AM10" i="2"/>
  <c r="AM11" i="2" s="1"/>
  <c r="AL10" i="2"/>
  <c r="AL11" i="2" s="1"/>
  <c r="AK10" i="2"/>
  <c r="AK11" i="2" s="1"/>
  <c r="AJ10" i="2"/>
  <c r="AJ11" i="2" s="1"/>
  <c r="AI10" i="2"/>
  <c r="AI11" i="2" s="1"/>
  <c r="AH10" i="2"/>
  <c r="AH11" i="2" s="1"/>
  <c r="AG10" i="2"/>
  <c r="AG11" i="2" s="1"/>
  <c r="AE10" i="2"/>
  <c r="AE11" i="2" s="1"/>
  <c r="AD10" i="2"/>
  <c r="AD11" i="2" s="1"/>
  <c r="AC10" i="2"/>
  <c r="AC11" i="2" s="1"/>
  <c r="AB10" i="2"/>
  <c r="AB11" i="2" s="1"/>
  <c r="AA10" i="2"/>
  <c r="AA11" i="2" s="1"/>
  <c r="Z10" i="2"/>
  <c r="Z11" i="2" s="1"/>
  <c r="Y10" i="2"/>
  <c r="Y11" i="2" s="1"/>
  <c r="W10" i="2"/>
  <c r="W11" i="2" s="1"/>
  <c r="V10" i="2"/>
  <c r="V11" i="2" s="1"/>
  <c r="U10" i="2"/>
  <c r="U11" i="2" s="1"/>
  <c r="T10" i="2"/>
  <c r="T11" i="2" s="1"/>
  <c r="S10" i="2"/>
  <c r="S11" i="2" s="1"/>
  <c r="R10" i="2"/>
  <c r="R11" i="2" s="1"/>
  <c r="Q10" i="2"/>
  <c r="Q11" i="2" s="1"/>
  <c r="O10" i="2"/>
  <c r="O11" i="2" s="1"/>
  <c r="N10" i="2"/>
  <c r="N11" i="2" s="1"/>
  <c r="M10" i="2"/>
  <c r="M11" i="2" s="1"/>
  <c r="L10" i="2"/>
  <c r="L11" i="2" s="1"/>
  <c r="K10" i="2"/>
  <c r="K11" i="2" s="1"/>
  <c r="J10" i="2"/>
  <c r="J11" i="2" s="1"/>
  <c r="I10" i="2"/>
  <c r="I11" i="2" s="1"/>
  <c r="AO28" i="2"/>
  <c r="AM28" i="2"/>
  <c r="AM29" i="2" s="1"/>
  <c r="AL28" i="2"/>
  <c r="AL29" i="2" s="1"/>
  <c r="AK28" i="2"/>
  <c r="AK29" i="2" s="1"/>
  <c r="AI28" i="2"/>
  <c r="AI29" i="2" s="1"/>
  <c r="AG28" i="2"/>
  <c r="AG29" i="2" s="1"/>
  <c r="BM88" i="2"/>
  <c r="BE88" i="2"/>
  <c r="AW88" i="2"/>
  <c r="AO88" i="2"/>
  <c r="AG88" i="2"/>
  <c r="Y88" i="2"/>
  <c r="Q88" i="2"/>
  <c r="I88" i="2"/>
  <c r="BM87" i="2"/>
  <c r="BE87" i="2"/>
  <c r="AW87" i="2"/>
  <c r="AO87" i="2"/>
  <c r="AG87" i="2"/>
  <c r="Y87" i="2"/>
  <c r="Q87" i="2"/>
  <c r="I87" i="2"/>
  <c r="BO82" i="2"/>
  <c r="BU16" i="1" s="1"/>
  <c r="BN82" i="2"/>
  <c r="BT16" i="1" s="1"/>
  <c r="BM82" i="2"/>
  <c r="BK82" i="2"/>
  <c r="BJ82" i="2"/>
  <c r="BI82" i="2"/>
  <c r="BH82" i="2"/>
  <c r="BG82" i="2"/>
  <c r="BF82" i="2"/>
  <c r="BE82" i="2"/>
  <c r="BC82" i="2"/>
  <c r="BB82" i="2"/>
  <c r="BA82" i="2"/>
  <c r="AZ82" i="2"/>
  <c r="AY82" i="2"/>
  <c r="AX82" i="2"/>
  <c r="AU82" i="2"/>
  <c r="AT82" i="2"/>
  <c r="AS82" i="2"/>
  <c r="AR82" i="2"/>
  <c r="AQ82" i="2"/>
  <c r="AP82" i="2"/>
  <c r="AO82" i="2"/>
  <c r="AM82" i="2"/>
  <c r="AL82" i="2"/>
  <c r="AK82" i="2"/>
  <c r="AJ82" i="2"/>
  <c r="AI82" i="2"/>
  <c r="AH82" i="2"/>
  <c r="AG82" i="2"/>
  <c r="AE82" i="2"/>
  <c r="AD82" i="2"/>
  <c r="AC82" i="2"/>
  <c r="AB82" i="2"/>
  <c r="AA82" i="2"/>
  <c r="Z82" i="2"/>
  <c r="Y82" i="2"/>
  <c r="W82" i="2"/>
  <c r="V82" i="2"/>
  <c r="U82" i="2"/>
  <c r="T82" i="2"/>
  <c r="S82" i="2"/>
  <c r="R82" i="2"/>
  <c r="Q82" i="2"/>
  <c r="O82" i="2"/>
  <c r="N82" i="2"/>
  <c r="M82" i="2"/>
  <c r="L82" i="2"/>
  <c r="K82" i="2"/>
  <c r="J82" i="2"/>
  <c r="I82" i="2"/>
  <c r="BS63" i="2"/>
  <c r="BR63" i="2"/>
  <c r="BQ63" i="2"/>
  <c r="BP63" i="2"/>
  <c r="BO63" i="2"/>
  <c r="BN63" i="2"/>
  <c r="BM63" i="2"/>
  <c r="BK63" i="2"/>
  <c r="BJ63" i="2"/>
  <c r="BI63" i="2"/>
  <c r="BH63" i="2"/>
  <c r="BG63" i="2"/>
  <c r="BF63" i="2"/>
  <c r="BE63" i="2"/>
  <c r="BC63" i="2"/>
  <c r="BB63" i="2"/>
  <c r="BA63" i="2"/>
  <c r="AZ63" i="2"/>
  <c r="AY63" i="2"/>
  <c r="AX63" i="2"/>
  <c r="AW63" i="2"/>
  <c r="AP63" i="2"/>
  <c r="AO63" i="2"/>
  <c r="AM63" i="2"/>
  <c r="AL63" i="2"/>
  <c r="AK63" i="2"/>
  <c r="AJ63" i="2"/>
  <c r="AI63" i="2"/>
  <c r="AH63" i="2"/>
  <c r="R63" i="2"/>
  <c r="BS62" i="2"/>
  <c r="BR62" i="2"/>
  <c r="BQ62" i="2"/>
  <c r="BP62" i="2"/>
  <c r="BO62" i="2"/>
  <c r="AW62" i="2"/>
  <c r="AM62" i="2"/>
  <c r="AL62" i="2"/>
  <c r="AK62" i="2"/>
  <c r="AI62" i="2"/>
  <c r="AG61" i="2"/>
  <c r="AG63" i="2" s="1"/>
  <c r="AE61" i="2"/>
  <c r="AD61" i="2"/>
  <c r="AC61" i="2"/>
  <c r="S61" i="2"/>
  <c r="Q61" i="2"/>
  <c r="Q63" i="2" s="1"/>
  <c r="U60" i="2"/>
  <c r="BN58" i="2"/>
  <c r="BM58" i="2"/>
  <c r="BM107" i="2" s="1"/>
  <c r="BS26" i="1" s="1"/>
  <c r="BK58" i="2"/>
  <c r="BK62" i="2" s="1"/>
  <c r="BJ58" i="2"/>
  <c r="BJ62" i="2" s="1"/>
  <c r="BI58" i="2"/>
  <c r="BI62" i="2" s="1"/>
  <c r="BH58" i="2"/>
  <c r="BH62" i="2" s="1"/>
  <c r="BG58" i="2"/>
  <c r="BG62" i="2" s="1"/>
  <c r="BF58" i="2"/>
  <c r="BF62" i="2" s="1"/>
  <c r="BE58" i="2"/>
  <c r="BE62" i="2" s="1"/>
  <c r="BC58" i="2"/>
  <c r="BC62" i="2" s="1"/>
  <c r="BB58" i="2"/>
  <c r="BB62" i="2" s="1"/>
  <c r="BA58" i="2"/>
  <c r="BA62" i="2" s="1"/>
  <c r="AZ58" i="2"/>
  <c r="AZ62" i="2" s="1"/>
  <c r="AY58" i="2"/>
  <c r="AY62" i="2" s="1"/>
  <c r="AX58" i="2"/>
  <c r="AX62" i="2" s="1"/>
  <c r="AU58" i="2"/>
  <c r="AT58" i="2"/>
  <c r="AS58" i="2"/>
  <c r="AR58" i="2"/>
  <c r="AQ58" i="2"/>
  <c r="AP58" i="2"/>
  <c r="AP62" i="2" s="1"/>
  <c r="AO58" i="2"/>
  <c r="AO62" i="2" s="1"/>
  <c r="AJ58" i="2"/>
  <c r="AJ62" i="2" s="1"/>
  <c r="AH58" i="2"/>
  <c r="AH62" i="2" s="1"/>
  <c r="AG58" i="2"/>
  <c r="AG62" i="2" s="1"/>
  <c r="AE58" i="2"/>
  <c r="AD58" i="2"/>
  <c r="AC58" i="2"/>
  <c r="AB58" i="2"/>
  <c r="AA58" i="2"/>
  <c r="Z58" i="2"/>
  <c r="Y58" i="2"/>
  <c r="Y63" i="2" s="1"/>
  <c r="W58" i="2"/>
  <c r="W63" i="2" s="1"/>
  <c r="V58" i="2"/>
  <c r="V63" i="2" s="1"/>
  <c r="U58" i="2"/>
  <c r="T58" i="2"/>
  <c r="T63" i="2" s="1"/>
  <c r="S58" i="2"/>
  <c r="O58" i="2"/>
  <c r="O63" i="2" s="1"/>
  <c r="N58" i="2"/>
  <c r="N63" i="2" s="1"/>
  <c r="M58" i="2"/>
  <c r="M63" i="2" s="1"/>
  <c r="L58" i="2"/>
  <c r="L63" i="2" s="1"/>
  <c r="K58" i="2"/>
  <c r="K63" i="2" s="1"/>
  <c r="J58" i="2"/>
  <c r="J63" i="2" s="1"/>
  <c r="I58" i="2"/>
  <c r="I63" i="2" s="1"/>
  <c r="BS55" i="2"/>
  <c r="BR55" i="2"/>
  <c r="BQ55" i="2"/>
  <c r="BP55" i="2"/>
  <c r="BO55" i="2"/>
  <c r="BN55" i="2"/>
  <c r="BM55" i="2"/>
  <c r="BK55" i="2"/>
  <c r="BK56" i="2" s="1"/>
  <c r="BJ55" i="2"/>
  <c r="BJ56" i="2" s="1"/>
  <c r="BI55" i="2"/>
  <c r="BI56" i="2" s="1"/>
  <c r="BH55" i="2"/>
  <c r="BH56" i="2" s="1"/>
  <c r="BG55" i="2"/>
  <c r="BG56" i="2" s="1"/>
  <c r="BF55" i="2"/>
  <c r="BF56" i="2" s="1"/>
  <c r="BE55" i="2"/>
  <c r="BE56" i="2" s="1"/>
  <c r="BC55" i="2"/>
  <c r="BC56" i="2" s="1"/>
  <c r="BB55" i="2"/>
  <c r="BB56" i="2" s="1"/>
  <c r="BA55" i="2"/>
  <c r="BA56" i="2" s="1"/>
  <c r="AZ55" i="2"/>
  <c r="AZ56" i="2" s="1"/>
  <c r="AY55" i="2"/>
  <c r="AY56" i="2" s="1"/>
  <c r="AX55" i="2"/>
  <c r="AX56" i="2" s="1"/>
  <c r="AW55" i="2"/>
  <c r="AW56" i="2" s="1"/>
  <c r="AU55" i="2"/>
  <c r="AU56" i="2" s="1"/>
  <c r="AT55" i="2"/>
  <c r="AT56" i="2" s="1"/>
  <c r="AS55" i="2"/>
  <c r="AS56" i="2" s="1"/>
  <c r="AR55" i="2"/>
  <c r="AR56" i="2" s="1"/>
  <c r="AQ55" i="2"/>
  <c r="AQ56" i="2" s="1"/>
  <c r="AP55" i="2"/>
  <c r="AP56" i="2" s="1"/>
  <c r="AO55" i="2"/>
  <c r="AO56" i="2" s="1"/>
  <c r="AM55" i="2"/>
  <c r="AM56" i="2" s="1"/>
  <c r="AL55" i="2"/>
  <c r="AL56" i="2" s="1"/>
  <c r="AK55" i="2"/>
  <c r="AK56" i="2" s="1"/>
  <c r="AJ55" i="2"/>
  <c r="AJ56" i="2" s="1"/>
  <c r="AI55" i="2"/>
  <c r="AI56" i="2" s="1"/>
  <c r="AH55" i="2"/>
  <c r="AH56" i="2" s="1"/>
  <c r="AG55" i="2"/>
  <c r="AG56" i="2" s="1"/>
  <c r="AE55" i="2"/>
  <c r="AE56" i="2" s="1"/>
  <c r="AD55" i="2"/>
  <c r="AD56" i="2" s="1"/>
  <c r="AC55" i="2"/>
  <c r="AC56" i="2" s="1"/>
  <c r="AB55" i="2"/>
  <c r="AB56" i="2" s="1"/>
  <c r="AA55" i="2"/>
  <c r="AA56" i="2" s="1"/>
  <c r="Z55" i="2"/>
  <c r="Z56" i="2" s="1"/>
  <c r="Y55" i="2"/>
  <c r="Y56" i="2" s="1"/>
  <c r="W55" i="2"/>
  <c r="W56" i="2" s="1"/>
  <c r="V55" i="2"/>
  <c r="V56" i="2" s="1"/>
  <c r="U55" i="2"/>
  <c r="U56" i="2" s="1"/>
  <c r="T55" i="2"/>
  <c r="T56" i="2" s="1"/>
  <c r="T62" i="2" s="1"/>
  <c r="S55" i="2"/>
  <c r="S56" i="2" s="1"/>
  <c r="S62" i="2" s="1"/>
  <c r="R55" i="2"/>
  <c r="R56" i="2" s="1"/>
  <c r="R62" i="2" s="1"/>
  <c r="Q55" i="2"/>
  <c r="Q56" i="2" s="1"/>
  <c r="Q62" i="2" s="1"/>
  <c r="O55" i="2"/>
  <c r="O56" i="2" s="1"/>
  <c r="O62" i="2" s="1"/>
  <c r="N55" i="2"/>
  <c r="N56" i="2" s="1"/>
  <c r="N62" i="2" s="1"/>
  <c r="M55" i="2"/>
  <c r="M56" i="2" s="1"/>
  <c r="M62" i="2" s="1"/>
  <c r="L55" i="2"/>
  <c r="L56" i="2" s="1"/>
  <c r="L62" i="2" s="1"/>
  <c r="K55" i="2"/>
  <c r="K56" i="2" s="1"/>
  <c r="K62" i="2" s="1"/>
  <c r="J55" i="2"/>
  <c r="J56" i="2" s="1"/>
  <c r="J62" i="2" s="1"/>
  <c r="I55" i="2"/>
  <c r="I56" i="2" s="1"/>
  <c r="I62" i="2" s="1"/>
  <c r="BS54" i="2"/>
  <c r="BY47" i="1" s="1"/>
  <c r="BR54" i="2"/>
  <c r="BX47" i="1" s="1"/>
  <c r="BQ54" i="2"/>
  <c r="BW47" i="1" s="1"/>
  <c r="BP54" i="2"/>
  <c r="BV47" i="1" s="1"/>
  <c r="BO54" i="2"/>
  <c r="BU47" i="1" s="1"/>
  <c r="BN54" i="2"/>
  <c r="BT47" i="1" s="1"/>
  <c r="BM54" i="2"/>
  <c r="BS47" i="1" s="1"/>
  <c r="BK54" i="2"/>
  <c r="BJ54" i="2"/>
  <c r="BI54" i="2"/>
  <c r="BH54" i="2"/>
  <c r="BG54" i="2"/>
  <c r="BF54" i="2"/>
  <c r="BE54" i="2"/>
  <c r="BC54" i="2"/>
  <c r="BB54" i="2"/>
  <c r="BA54" i="2"/>
  <c r="AZ54" i="2"/>
  <c r="AY54" i="2"/>
  <c r="AX54" i="2"/>
  <c r="AW54" i="2"/>
  <c r="AU54" i="2"/>
  <c r="AT54" i="2"/>
  <c r="AS54" i="2"/>
  <c r="AR54" i="2"/>
  <c r="AQ54" i="2"/>
  <c r="AP54" i="2"/>
  <c r="AO54" i="2"/>
  <c r="AM54" i="2"/>
  <c r="AL54" i="2"/>
  <c r="AK54" i="2"/>
  <c r="AJ54" i="2"/>
  <c r="AI54" i="2"/>
  <c r="AH54" i="2"/>
  <c r="AG54" i="2"/>
  <c r="AE54" i="2"/>
  <c r="AD54" i="2"/>
  <c r="AC54" i="2"/>
  <c r="AB54" i="2"/>
  <c r="AA54" i="2"/>
  <c r="Z54" i="2"/>
  <c r="Y54" i="2"/>
  <c r="W54" i="2"/>
  <c r="V54" i="2"/>
  <c r="U54" i="2"/>
  <c r="T54" i="2"/>
  <c r="S54" i="2"/>
  <c r="R54" i="2"/>
  <c r="Q54" i="2"/>
  <c r="O54" i="2"/>
  <c r="N54" i="2"/>
  <c r="M54" i="2"/>
  <c r="L54" i="2"/>
  <c r="K54" i="2"/>
  <c r="J54" i="2"/>
  <c r="I54" i="2"/>
  <c r="BS53" i="2"/>
  <c r="BY48" i="1" s="1"/>
  <c r="BR53" i="2"/>
  <c r="BX48" i="1" s="1"/>
  <c r="BQ53" i="2"/>
  <c r="BW48" i="1" s="1"/>
  <c r="BP53" i="2"/>
  <c r="BV48" i="1" s="1"/>
  <c r="BO53" i="2"/>
  <c r="BU48" i="1" s="1"/>
  <c r="BN53" i="2"/>
  <c r="BT48" i="1" s="1"/>
  <c r="BM53" i="2"/>
  <c r="BS48" i="1" s="1"/>
  <c r="BK53" i="2"/>
  <c r="BJ53" i="2"/>
  <c r="BI53" i="2"/>
  <c r="BH53" i="2"/>
  <c r="BG53" i="2"/>
  <c r="BF53" i="2"/>
  <c r="BE53" i="2"/>
  <c r="BC53" i="2"/>
  <c r="BB53" i="2"/>
  <c r="BA53" i="2"/>
  <c r="AZ53" i="2"/>
  <c r="AY53" i="2"/>
  <c r="AX53" i="2"/>
  <c r="AW53" i="2"/>
  <c r="AU53" i="2"/>
  <c r="AT53" i="2"/>
  <c r="AS53" i="2"/>
  <c r="AR53" i="2"/>
  <c r="AQ53" i="2"/>
  <c r="AP53" i="2"/>
  <c r="AO53" i="2"/>
  <c r="AM53" i="2"/>
  <c r="AL53" i="2"/>
  <c r="AK53" i="2"/>
  <c r="AJ53" i="2"/>
  <c r="AI53" i="2"/>
  <c r="AH53" i="2"/>
  <c r="AG53" i="2"/>
  <c r="AE53" i="2"/>
  <c r="AD53" i="2"/>
  <c r="AC53" i="2"/>
  <c r="AB53" i="2"/>
  <c r="AA53" i="2"/>
  <c r="Z53" i="2"/>
  <c r="Y53" i="2"/>
  <c r="W53" i="2"/>
  <c r="V53" i="2"/>
  <c r="U53" i="2"/>
  <c r="T53" i="2"/>
  <c r="S53" i="2"/>
  <c r="R53" i="2"/>
  <c r="Q53" i="2"/>
  <c r="O53" i="2"/>
  <c r="N53" i="2"/>
  <c r="M53" i="2"/>
  <c r="L53" i="2"/>
  <c r="K53" i="2"/>
  <c r="J53" i="2"/>
  <c r="I53" i="2"/>
  <c r="BS52" i="2"/>
  <c r="BY49" i="1" s="1"/>
  <c r="BR52" i="2"/>
  <c r="BX49" i="1" s="1"/>
  <c r="BQ52" i="2"/>
  <c r="BW49" i="1" s="1"/>
  <c r="BP52" i="2"/>
  <c r="BV49" i="1" s="1"/>
  <c r="BO52" i="2"/>
  <c r="BU49" i="1" s="1"/>
  <c r="BN52" i="2"/>
  <c r="BT49" i="1" s="1"/>
  <c r="BM52" i="2"/>
  <c r="BS49" i="1" s="1"/>
  <c r="BK52" i="2"/>
  <c r="BJ52" i="2"/>
  <c r="BI52" i="2"/>
  <c r="BH52" i="2"/>
  <c r="BG52" i="2"/>
  <c r="BF52" i="2"/>
  <c r="BE52" i="2"/>
  <c r="BC52" i="2"/>
  <c r="BB52" i="2"/>
  <c r="BA52" i="2"/>
  <c r="AZ52" i="2"/>
  <c r="AY52" i="2"/>
  <c r="AX52" i="2"/>
  <c r="AW52" i="2"/>
  <c r="AU52" i="2"/>
  <c r="AT52" i="2"/>
  <c r="AS52" i="2"/>
  <c r="AR52" i="2"/>
  <c r="AQ52" i="2"/>
  <c r="AP52" i="2"/>
  <c r="AO52" i="2"/>
  <c r="AM52" i="2"/>
  <c r="AL52" i="2"/>
  <c r="AK52" i="2"/>
  <c r="AJ52" i="2"/>
  <c r="AI52" i="2"/>
  <c r="AH52" i="2"/>
  <c r="AG52" i="2"/>
  <c r="AE52" i="2"/>
  <c r="AD52" i="2"/>
  <c r="AC52" i="2"/>
  <c r="AB52" i="2"/>
  <c r="AA52" i="2"/>
  <c r="Z52" i="2"/>
  <c r="Y52" i="2"/>
  <c r="W52" i="2"/>
  <c r="V52" i="2"/>
  <c r="U52" i="2"/>
  <c r="T52" i="2"/>
  <c r="S52" i="2"/>
  <c r="R52" i="2"/>
  <c r="Q52" i="2"/>
  <c r="O52" i="2"/>
  <c r="N52" i="2"/>
  <c r="M52" i="2"/>
  <c r="L52" i="2"/>
  <c r="K52" i="2"/>
  <c r="J52" i="2"/>
  <c r="I52" i="2"/>
  <c r="BS51" i="2"/>
  <c r="BR51" i="2"/>
  <c r="BQ51" i="2"/>
  <c r="BP51" i="2"/>
  <c r="BO51" i="2"/>
  <c r="BN51" i="2"/>
  <c r="BM51" i="2"/>
  <c r="BK51" i="2"/>
  <c r="BJ51" i="2"/>
  <c r="BI51" i="2"/>
  <c r="BH51" i="2"/>
  <c r="BG51" i="2"/>
  <c r="BF51" i="2"/>
  <c r="BE51" i="2"/>
  <c r="BC51" i="2"/>
  <c r="BB51" i="2"/>
  <c r="BA51" i="2"/>
  <c r="AZ51" i="2"/>
  <c r="AY51" i="2"/>
  <c r="AX51" i="2"/>
  <c r="AW51" i="2"/>
  <c r="AU51" i="2"/>
  <c r="AT51" i="2"/>
  <c r="AS51" i="2"/>
  <c r="AR51" i="2"/>
  <c r="AQ51" i="2"/>
  <c r="AP51" i="2"/>
  <c r="AO51" i="2"/>
  <c r="AM51" i="2"/>
  <c r="AL51" i="2"/>
  <c r="AK51" i="2"/>
  <c r="AJ51" i="2"/>
  <c r="AI51" i="2"/>
  <c r="AH51" i="2"/>
  <c r="AG51" i="2"/>
  <c r="AE51" i="2"/>
  <c r="AD51" i="2"/>
  <c r="AC51" i="2"/>
  <c r="AB51" i="2"/>
  <c r="AA51" i="2"/>
  <c r="Z51" i="2"/>
  <c r="Y51" i="2"/>
  <c r="W51" i="2"/>
  <c r="V51" i="2"/>
  <c r="U51" i="2"/>
  <c r="T51" i="2"/>
  <c r="S51" i="2"/>
  <c r="R51" i="2"/>
  <c r="Q51" i="2"/>
  <c r="O51" i="2"/>
  <c r="N51" i="2"/>
  <c r="M51" i="2"/>
  <c r="L51" i="2"/>
  <c r="K51" i="2"/>
  <c r="J51" i="2"/>
  <c r="I51" i="2"/>
  <c r="BS36" i="2"/>
  <c r="BS37" i="2" s="1"/>
  <c r="BR36" i="2"/>
  <c r="BR37" i="2" s="1"/>
  <c r="BQ36" i="2"/>
  <c r="BQ37" i="2" s="1"/>
  <c r="BP36" i="2"/>
  <c r="BP37" i="2" s="1"/>
  <c r="BG36" i="2"/>
  <c r="BG37" i="2" s="1"/>
  <c r="AX36" i="2"/>
  <c r="AX37" i="2" s="1"/>
  <c r="AW36" i="2"/>
  <c r="AW37" i="2" s="1"/>
  <c r="AO36" i="2"/>
  <c r="AO37" i="2" s="1"/>
  <c r="AM36" i="2"/>
  <c r="AM37" i="2" s="1"/>
  <c r="AL36" i="2"/>
  <c r="AL37" i="2" s="1"/>
  <c r="AK36" i="2"/>
  <c r="AK37" i="2" s="1"/>
  <c r="AI36" i="2"/>
  <c r="AI37" i="2" s="1"/>
  <c r="AG36" i="2"/>
  <c r="AG37" i="2" s="1"/>
  <c r="BS35" i="2"/>
  <c r="BR35" i="2"/>
  <c r="BQ35" i="2"/>
  <c r="BP35" i="2"/>
  <c r="BO35" i="2"/>
  <c r="BN35" i="2"/>
  <c r="BM35" i="2"/>
  <c r="BK35" i="2"/>
  <c r="BJ35" i="2"/>
  <c r="BI35" i="2"/>
  <c r="BH35" i="2"/>
  <c r="BG35" i="2"/>
  <c r="BF35" i="2"/>
  <c r="BE35" i="2"/>
  <c r="BC35" i="2"/>
  <c r="BB35" i="2"/>
  <c r="BA35" i="2"/>
  <c r="AZ35" i="2"/>
  <c r="AY35" i="2"/>
  <c r="AX35" i="2"/>
  <c r="AW35" i="2"/>
  <c r="AU35" i="2"/>
  <c r="AT35" i="2"/>
  <c r="AS35" i="2"/>
  <c r="AR35" i="2"/>
  <c r="AQ35" i="2"/>
  <c r="AP35" i="2"/>
  <c r="AO35" i="2"/>
  <c r="AM35" i="2"/>
  <c r="AL35" i="2"/>
  <c r="AK35" i="2"/>
  <c r="AJ35" i="2"/>
  <c r="AI35" i="2"/>
  <c r="AH35" i="2"/>
  <c r="AG35" i="2"/>
  <c r="AE35" i="2"/>
  <c r="AD35" i="2"/>
  <c r="AC35" i="2"/>
  <c r="AB35" i="2"/>
  <c r="AA35" i="2"/>
  <c r="Z35" i="2"/>
  <c r="Y35" i="2"/>
  <c r="W35" i="2"/>
  <c r="V35" i="2"/>
  <c r="U35" i="2"/>
  <c r="T35" i="2"/>
  <c r="S35" i="2"/>
  <c r="R35" i="2"/>
  <c r="Q35" i="2"/>
  <c r="O35" i="2"/>
  <c r="N35" i="2"/>
  <c r="M35" i="2"/>
  <c r="L35" i="2"/>
  <c r="K35" i="2"/>
  <c r="J35" i="2"/>
  <c r="I35" i="2"/>
  <c r="BS34" i="2"/>
  <c r="BR34" i="2"/>
  <c r="BQ34" i="2"/>
  <c r="BP34" i="2"/>
  <c r="BO34" i="2"/>
  <c r="BN34" i="2"/>
  <c r="BM34" i="2"/>
  <c r="BK34" i="2"/>
  <c r="BJ34" i="2"/>
  <c r="BI34" i="2"/>
  <c r="BH34" i="2"/>
  <c r="BG34" i="2"/>
  <c r="BF34" i="2"/>
  <c r="BE34" i="2"/>
  <c r="BC34" i="2"/>
  <c r="BB34" i="2"/>
  <c r="BA34" i="2"/>
  <c r="AZ34" i="2"/>
  <c r="AY34" i="2"/>
  <c r="AX34" i="2"/>
  <c r="AW34" i="2"/>
  <c r="AU34" i="2"/>
  <c r="AT34" i="2"/>
  <c r="AS34" i="2"/>
  <c r="AR34" i="2"/>
  <c r="AQ34" i="2"/>
  <c r="AP34" i="2"/>
  <c r="AO34" i="2"/>
  <c r="AM34" i="2"/>
  <c r="AL34" i="2"/>
  <c r="AK34" i="2"/>
  <c r="AJ34" i="2"/>
  <c r="AI34" i="2"/>
  <c r="AH34" i="2"/>
  <c r="AG34" i="2"/>
  <c r="AE34" i="2"/>
  <c r="AD34" i="2"/>
  <c r="AC34" i="2"/>
  <c r="AB34" i="2"/>
  <c r="AA34" i="2"/>
  <c r="Z34" i="2"/>
  <c r="Y34" i="2"/>
  <c r="W34" i="2"/>
  <c r="V34" i="2"/>
  <c r="U34" i="2"/>
  <c r="T34" i="2"/>
  <c r="S34" i="2"/>
  <c r="R34" i="2"/>
  <c r="Q34" i="2"/>
  <c r="O34" i="2"/>
  <c r="N34" i="2"/>
  <c r="M34" i="2"/>
  <c r="L34" i="2"/>
  <c r="K34" i="2"/>
  <c r="J34" i="2"/>
  <c r="I34" i="2"/>
  <c r="BS33" i="2"/>
  <c r="BR33" i="2"/>
  <c r="BQ33" i="2"/>
  <c r="BP33" i="2"/>
  <c r="BG33" i="2"/>
  <c r="AX33" i="2"/>
  <c r="AW33" i="2"/>
  <c r="AO33" i="2"/>
  <c r="AM33" i="2"/>
  <c r="AL33" i="2"/>
  <c r="AK33" i="2"/>
  <c r="AI33" i="2"/>
  <c r="AG33" i="2"/>
  <c r="BS32" i="2"/>
  <c r="BR32" i="2"/>
  <c r="BQ32" i="2"/>
  <c r="BP32" i="2"/>
  <c r="BO32" i="2"/>
  <c r="BN32" i="2"/>
  <c r="BM32" i="2"/>
  <c r="BK32" i="2"/>
  <c r="BJ32" i="2"/>
  <c r="BI32" i="2"/>
  <c r="BH32" i="2"/>
  <c r="BG32" i="2"/>
  <c r="BF32" i="2"/>
  <c r="BE32" i="2"/>
  <c r="BC32" i="2"/>
  <c r="BB32" i="2"/>
  <c r="BA32" i="2"/>
  <c r="AZ32" i="2"/>
  <c r="AY32" i="2"/>
  <c r="AX32" i="2"/>
  <c r="AW32" i="2"/>
  <c r="AU32" i="2"/>
  <c r="AT32" i="2"/>
  <c r="AS32" i="2"/>
  <c r="AR32" i="2"/>
  <c r="AQ32" i="2"/>
  <c r="AP32" i="2"/>
  <c r="AO32" i="2"/>
  <c r="AM32" i="2"/>
  <c r="AL32" i="2"/>
  <c r="AK32" i="2"/>
  <c r="AJ32" i="2"/>
  <c r="AI32" i="2"/>
  <c r="AH32" i="2"/>
  <c r="AG32" i="2"/>
  <c r="AE32" i="2"/>
  <c r="AD32" i="2"/>
  <c r="AC32" i="2"/>
  <c r="AB32" i="2"/>
  <c r="AA32" i="2"/>
  <c r="Z32" i="2"/>
  <c r="Y32" i="2"/>
  <c r="W32" i="2"/>
  <c r="V32" i="2"/>
  <c r="U32" i="2"/>
  <c r="T32" i="2"/>
  <c r="S32" i="2"/>
  <c r="R32" i="2"/>
  <c r="Q32" i="2"/>
  <c r="O32" i="2"/>
  <c r="N32" i="2"/>
  <c r="M32" i="2"/>
  <c r="L32" i="2"/>
  <c r="J32" i="2"/>
  <c r="I32" i="2"/>
  <c r="BS31" i="2"/>
  <c r="BR31" i="2"/>
  <c r="BQ31" i="2"/>
  <c r="BP31" i="2"/>
  <c r="BO31" i="2"/>
  <c r="BN31" i="2"/>
  <c r="BM31" i="2"/>
  <c r="BK31" i="2"/>
  <c r="BJ31" i="2"/>
  <c r="BI31" i="2"/>
  <c r="BH31" i="2"/>
  <c r="BG31" i="2"/>
  <c r="BF31" i="2"/>
  <c r="BE31" i="2"/>
  <c r="BC31" i="2"/>
  <c r="BB31" i="2"/>
  <c r="BA31" i="2"/>
  <c r="AZ31" i="2"/>
  <c r="AY31" i="2"/>
  <c r="AX31" i="2"/>
  <c r="AW31" i="2"/>
  <c r="AU31" i="2"/>
  <c r="AT31" i="2"/>
  <c r="AS31" i="2"/>
  <c r="AR31" i="2"/>
  <c r="AQ31" i="2"/>
  <c r="AP31" i="2"/>
  <c r="AO31" i="2"/>
  <c r="AM31" i="2"/>
  <c r="AL31" i="2"/>
  <c r="AK31" i="2"/>
  <c r="AJ31" i="2"/>
  <c r="AI31" i="2"/>
  <c r="AH31" i="2"/>
  <c r="AG31" i="2"/>
  <c r="AE31" i="2"/>
  <c r="AD31" i="2"/>
  <c r="AC31" i="2"/>
  <c r="AB31" i="2"/>
  <c r="AA31" i="2"/>
  <c r="Z31" i="2"/>
  <c r="Y31" i="2"/>
  <c r="W31" i="2"/>
  <c r="V31" i="2"/>
  <c r="U31" i="2"/>
  <c r="T31" i="2"/>
  <c r="S31" i="2"/>
  <c r="R31" i="2"/>
  <c r="Q31" i="2"/>
  <c r="O31" i="2"/>
  <c r="N31" i="2"/>
  <c r="M31" i="2"/>
  <c r="L31" i="2"/>
  <c r="J31" i="2"/>
  <c r="I31" i="2"/>
  <c r="BS30" i="2"/>
  <c r="BR30" i="2"/>
  <c r="BQ30" i="2"/>
  <c r="BP30" i="2"/>
  <c r="BG30" i="2"/>
  <c r="AX30" i="2"/>
  <c r="AW30" i="2"/>
  <c r="AO30" i="2"/>
  <c r="AM30" i="2"/>
  <c r="AL30" i="2"/>
  <c r="AK30" i="2"/>
  <c r="AI30" i="2"/>
  <c r="AG30" i="2"/>
  <c r="T25" i="2"/>
  <c r="S25" i="2"/>
  <c r="R25" i="2"/>
  <c r="Q25" i="2"/>
  <c r="O25" i="2"/>
  <c r="N25" i="2"/>
  <c r="M25" i="2"/>
  <c r="L25" i="2"/>
  <c r="K25" i="2"/>
  <c r="J25" i="2"/>
  <c r="BO22" i="2"/>
  <c r="BN22" i="2"/>
  <c r="BM22" i="2"/>
  <c r="BK22" i="2"/>
  <c r="BK28" i="2" s="1"/>
  <c r="BJ22" i="2"/>
  <c r="BJ36" i="2" s="1"/>
  <c r="BJ37" i="2" s="1"/>
  <c r="BI22" i="2"/>
  <c r="BI36" i="2" s="1"/>
  <c r="BI37" i="2" s="1"/>
  <c r="BH22" i="2"/>
  <c r="BF22" i="2"/>
  <c r="BF30" i="2" s="1"/>
  <c r="BE22" i="2"/>
  <c r="BC22" i="2"/>
  <c r="BC36" i="2" s="1"/>
  <c r="BC37" i="2" s="1"/>
  <c r="BB22" i="2"/>
  <c r="BA22" i="2"/>
  <c r="BA33" i="2" s="1"/>
  <c r="AZ22" i="2"/>
  <c r="AY22" i="2"/>
  <c r="AY36" i="2" s="1"/>
  <c r="AY37" i="2" s="1"/>
  <c r="AU22" i="2"/>
  <c r="AU28" i="2" s="1"/>
  <c r="AT22" i="2"/>
  <c r="AT28" i="2" s="1"/>
  <c r="AS22" i="2"/>
  <c r="AS28" i="2" s="1"/>
  <c r="AR22" i="2"/>
  <c r="AR36" i="2" s="1"/>
  <c r="AR37" i="2" s="1"/>
  <c r="AQ22" i="2"/>
  <c r="AQ28" i="2" s="1"/>
  <c r="AP22" i="2"/>
  <c r="AP28" i="2" s="1"/>
  <c r="AJ22" i="2"/>
  <c r="AJ28" i="2" s="1"/>
  <c r="AJ29" i="2" s="1"/>
  <c r="AH22" i="2"/>
  <c r="AH36" i="2" s="1"/>
  <c r="AH37" i="2" s="1"/>
  <c r="AE22" i="2"/>
  <c r="AE28" i="2" s="1"/>
  <c r="AE29" i="2" s="1"/>
  <c r="AD22" i="2"/>
  <c r="AD33" i="2" s="1"/>
  <c r="AC22" i="2"/>
  <c r="AC28" i="2" s="1"/>
  <c r="AC29" i="2" s="1"/>
  <c r="AB22" i="2"/>
  <c r="AB36" i="2" s="1"/>
  <c r="AB37" i="2" s="1"/>
  <c r="AA22" i="2"/>
  <c r="AA28" i="2" s="1"/>
  <c r="AA29" i="2" s="1"/>
  <c r="Z22" i="2"/>
  <c r="Z30" i="2" s="1"/>
  <c r="Y22" i="2"/>
  <c r="Y28" i="2" s="1"/>
  <c r="Y29" i="2" s="1"/>
  <c r="W22" i="2"/>
  <c r="W36" i="2" s="1"/>
  <c r="W37" i="2" s="1"/>
  <c r="V22" i="2"/>
  <c r="V28" i="2" s="1"/>
  <c r="V29" i="2" s="1"/>
  <c r="U22" i="2"/>
  <c r="U33" i="2" s="1"/>
  <c r="T22" i="2"/>
  <c r="T28" i="2" s="1"/>
  <c r="T29" i="2" s="1"/>
  <c r="S22" i="2"/>
  <c r="S36" i="2" s="1"/>
  <c r="S37" i="2" s="1"/>
  <c r="R22" i="2"/>
  <c r="R28" i="2" s="1"/>
  <c r="R29" i="2" s="1"/>
  <c r="Q22" i="2"/>
  <c r="Q36" i="2" s="1"/>
  <c r="Q37" i="2" s="1"/>
  <c r="O22" i="2"/>
  <c r="O28" i="2" s="1"/>
  <c r="O29" i="2" s="1"/>
  <c r="N22" i="2"/>
  <c r="N36" i="2" s="1"/>
  <c r="N37" i="2" s="1"/>
  <c r="M22" i="2"/>
  <c r="M28" i="2" s="1"/>
  <c r="M29" i="2" s="1"/>
  <c r="L22" i="2"/>
  <c r="L33" i="2" s="1"/>
  <c r="K22" i="2"/>
  <c r="K28" i="2" s="1"/>
  <c r="K29" i="2" s="1"/>
  <c r="J22" i="2"/>
  <c r="J36" i="2" s="1"/>
  <c r="J37" i="2" s="1"/>
  <c r="I22" i="2"/>
  <c r="I28" i="2" s="1"/>
  <c r="I29" i="2" s="1"/>
  <c r="K21" i="2"/>
  <c r="BS18" i="2"/>
  <c r="BS19" i="2" s="1"/>
  <c r="BR18" i="2"/>
  <c r="BR19" i="2" s="1"/>
  <c r="BQ18" i="2"/>
  <c r="BQ19" i="2" s="1"/>
  <c r="BP18" i="2"/>
  <c r="BP19" i="2" s="1"/>
  <c r="BO18" i="2"/>
  <c r="BO19" i="2" s="1"/>
  <c r="BN18" i="2"/>
  <c r="BN19" i="2" s="1"/>
  <c r="BM18" i="2"/>
  <c r="BM19" i="2" s="1"/>
  <c r="BK18" i="2"/>
  <c r="BK19" i="2" s="1"/>
  <c r="BJ18" i="2"/>
  <c r="BJ19" i="2" s="1"/>
  <c r="BI18" i="2"/>
  <c r="BI19" i="2" s="1"/>
  <c r="BH18" i="2"/>
  <c r="BH19" i="2" s="1"/>
  <c r="BG18" i="2"/>
  <c r="BG19" i="2" s="1"/>
  <c r="BE18" i="2"/>
  <c r="BE19" i="2" s="1"/>
  <c r="BC18" i="2"/>
  <c r="BB18" i="2"/>
  <c r="BA18" i="2"/>
  <c r="BA19" i="2" s="1"/>
  <c r="AZ18" i="2"/>
  <c r="AZ19" i="2" s="1"/>
  <c r="AY18" i="2"/>
  <c r="AY19" i="2" s="1"/>
  <c r="AW18" i="2"/>
  <c r="AW19" i="2" s="1"/>
  <c r="AU18" i="2"/>
  <c r="AU19" i="2" s="1"/>
  <c r="AT18" i="2"/>
  <c r="AT19" i="2" s="1"/>
  <c r="AS18" i="2"/>
  <c r="AS19" i="2" s="1"/>
  <c r="AQ18" i="2"/>
  <c r="AQ19" i="2" s="1"/>
  <c r="AP18" i="2"/>
  <c r="AP19" i="2" s="1"/>
  <c r="AO18" i="2"/>
  <c r="AO19" i="2" s="1"/>
  <c r="AM18" i="2"/>
  <c r="AM19" i="2" s="1"/>
  <c r="AL18" i="2"/>
  <c r="AL19" i="2" s="1"/>
  <c r="AK18" i="2"/>
  <c r="AK19" i="2" s="1"/>
  <c r="AJ18" i="2"/>
  <c r="AJ19" i="2" s="1"/>
  <c r="AI18" i="2"/>
  <c r="AI19" i="2" s="1"/>
  <c r="AH18" i="2"/>
  <c r="AH19" i="2" s="1"/>
  <c r="AG18" i="2"/>
  <c r="AG19" i="2" s="1"/>
  <c r="AE18" i="2"/>
  <c r="AE19" i="2" s="1"/>
  <c r="AD18" i="2"/>
  <c r="AD19" i="2" s="1"/>
  <c r="AC18" i="2"/>
  <c r="AC19" i="2" s="1"/>
  <c r="AB18" i="2"/>
  <c r="AB19" i="2" s="1"/>
  <c r="AA18" i="2"/>
  <c r="AA19" i="2" s="1"/>
  <c r="Z18" i="2"/>
  <c r="Z19" i="2" s="1"/>
  <c r="Y18" i="2"/>
  <c r="Y19" i="2" s="1"/>
  <c r="W18" i="2"/>
  <c r="W19" i="2" s="1"/>
  <c r="V18" i="2"/>
  <c r="V19" i="2" s="1"/>
  <c r="U18" i="2"/>
  <c r="U19" i="2" s="1"/>
  <c r="T18" i="2"/>
  <c r="T19" i="2" s="1"/>
  <c r="S18" i="2"/>
  <c r="S19" i="2" s="1"/>
  <c r="R18" i="2"/>
  <c r="R19" i="2" s="1"/>
  <c r="Q18" i="2"/>
  <c r="Q19" i="2" s="1"/>
  <c r="O18" i="2"/>
  <c r="O19" i="2" s="1"/>
  <c r="N18" i="2"/>
  <c r="N19" i="2" s="1"/>
  <c r="M18" i="2"/>
  <c r="M19" i="2" s="1"/>
  <c r="L18" i="2"/>
  <c r="L19" i="2" s="1"/>
  <c r="K18" i="2"/>
  <c r="K19" i="2" s="1"/>
  <c r="J18" i="2"/>
  <c r="J19" i="2" s="1"/>
  <c r="BS17" i="2"/>
  <c r="BR17" i="2"/>
  <c r="BQ17" i="2"/>
  <c r="BP17" i="2"/>
  <c r="BO17" i="2"/>
  <c r="BN17" i="2"/>
  <c r="BM17" i="2"/>
  <c r="BK17" i="2"/>
  <c r="BJ17" i="2"/>
  <c r="BI17" i="2"/>
  <c r="BH17" i="2"/>
  <c r="BG17" i="2"/>
  <c r="BF17" i="2"/>
  <c r="BE17" i="2"/>
  <c r="BC17" i="2"/>
  <c r="BB17" i="2"/>
  <c r="BA17" i="2"/>
  <c r="AZ17" i="2"/>
  <c r="AY17" i="2"/>
  <c r="AX17" i="2"/>
  <c r="AW17" i="2"/>
  <c r="AU17" i="2"/>
  <c r="AT17" i="2"/>
  <c r="AS17" i="2"/>
  <c r="AR17" i="2"/>
  <c r="AQ17" i="2"/>
  <c r="AP17" i="2"/>
  <c r="AO17" i="2"/>
  <c r="AM17" i="2"/>
  <c r="AL17" i="2"/>
  <c r="AK17" i="2"/>
  <c r="AJ17" i="2"/>
  <c r="AI17" i="2"/>
  <c r="AH17" i="2"/>
  <c r="AG17" i="2"/>
  <c r="AE17" i="2"/>
  <c r="AD17" i="2"/>
  <c r="AC17" i="2"/>
  <c r="AB17" i="2"/>
  <c r="AA17" i="2"/>
  <c r="Z17" i="2"/>
  <c r="Y17" i="2"/>
  <c r="W17" i="2"/>
  <c r="V17" i="2"/>
  <c r="U17" i="2"/>
  <c r="T17" i="2"/>
  <c r="S17" i="2"/>
  <c r="R17" i="2"/>
  <c r="Q17" i="2"/>
  <c r="O17" i="2"/>
  <c r="N17" i="2"/>
  <c r="M17" i="2"/>
  <c r="L17" i="2"/>
  <c r="K17" i="2"/>
  <c r="J17" i="2"/>
  <c r="I17" i="2"/>
  <c r="BS16" i="2"/>
  <c r="BR16" i="2"/>
  <c r="BQ16" i="2"/>
  <c r="BP16" i="2"/>
  <c r="BO16" i="2"/>
  <c r="BN16" i="2"/>
  <c r="BM16" i="2"/>
  <c r="BK16" i="2"/>
  <c r="BJ16" i="2"/>
  <c r="BI16" i="2"/>
  <c r="BH16" i="2"/>
  <c r="BG16" i="2"/>
  <c r="BF16" i="2"/>
  <c r="BE16" i="2"/>
  <c r="BC16" i="2"/>
  <c r="BB16" i="2"/>
  <c r="BA16" i="2"/>
  <c r="AZ16" i="2"/>
  <c r="AY16" i="2"/>
  <c r="AX16" i="2"/>
  <c r="AW16" i="2"/>
  <c r="AU16" i="2"/>
  <c r="AT16" i="2"/>
  <c r="AS16" i="2"/>
  <c r="AR16" i="2"/>
  <c r="AQ16" i="2"/>
  <c r="AP16" i="2"/>
  <c r="AO16" i="2"/>
  <c r="AM16" i="2"/>
  <c r="AL16" i="2"/>
  <c r="AK16" i="2"/>
  <c r="AJ16" i="2"/>
  <c r="AI16" i="2"/>
  <c r="AH16" i="2"/>
  <c r="AG16" i="2"/>
  <c r="AE16" i="2"/>
  <c r="AD16" i="2"/>
  <c r="AC16" i="2"/>
  <c r="AB16" i="2"/>
  <c r="AA16" i="2"/>
  <c r="Z16" i="2"/>
  <c r="Y16" i="2"/>
  <c r="W16" i="2"/>
  <c r="V16" i="2"/>
  <c r="U16" i="2"/>
  <c r="T16" i="2"/>
  <c r="S16" i="2"/>
  <c r="R16" i="2"/>
  <c r="Q16" i="2"/>
  <c r="O16" i="2"/>
  <c r="N16" i="2"/>
  <c r="M16" i="2"/>
  <c r="L16" i="2"/>
  <c r="K16" i="2"/>
  <c r="J16" i="2"/>
  <c r="I16" i="2"/>
  <c r="BS15" i="2"/>
  <c r="BR15" i="2"/>
  <c r="BQ15" i="2"/>
  <c r="BP15" i="2"/>
  <c r="BO15" i="2"/>
  <c r="BN15" i="2"/>
  <c r="BM15" i="2"/>
  <c r="BK15" i="2"/>
  <c r="BJ15" i="2"/>
  <c r="BI15" i="2"/>
  <c r="BH15" i="2"/>
  <c r="BG15" i="2"/>
  <c r="BE15" i="2"/>
  <c r="BC15" i="2"/>
  <c r="BB15" i="2"/>
  <c r="BA15" i="2"/>
  <c r="AZ15" i="2"/>
  <c r="AY15" i="2"/>
  <c r="AW15" i="2"/>
  <c r="AU15" i="2"/>
  <c r="AT15" i="2"/>
  <c r="AS15" i="2"/>
  <c r="AQ15" i="2"/>
  <c r="AP15" i="2"/>
  <c r="AO15" i="2"/>
  <c r="AM15" i="2"/>
  <c r="AL15" i="2"/>
  <c r="AK15" i="2"/>
  <c r="AJ15" i="2"/>
  <c r="AI15" i="2"/>
  <c r="AH15" i="2"/>
  <c r="AG15" i="2"/>
  <c r="AE15" i="2"/>
  <c r="AD15" i="2"/>
  <c r="AC15" i="2"/>
  <c r="AB15" i="2"/>
  <c r="AA15" i="2"/>
  <c r="Z15" i="2"/>
  <c r="Y15" i="2"/>
  <c r="W15" i="2"/>
  <c r="V15" i="2"/>
  <c r="U15" i="2"/>
  <c r="T15" i="2"/>
  <c r="S15" i="2"/>
  <c r="R15" i="2"/>
  <c r="Q15" i="2"/>
  <c r="O15" i="2"/>
  <c r="N15" i="2"/>
  <c r="M15" i="2"/>
  <c r="L15" i="2"/>
  <c r="K15" i="2"/>
  <c r="J15" i="2"/>
  <c r="BS14" i="2"/>
  <c r="BR14" i="2"/>
  <c r="BQ14" i="2"/>
  <c r="BP14" i="2"/>
  <c r="BO14" i="2"/>
  <c r="BN14" i="2"/>
  <c r="BM14" i="2"/>
  <c r="BK14" i="2"/>
  <c r="BJ14" i="2"/>
  <c r="BI14" i="2"/>
  <c r="BH14" i="2"/>
  <c r="BG14" i="2"/>
  <c r="BF14" i="2"/>
  <c r="BE14" i="2"/>
  <c r="BC14" i="2"/>
  <c r="BB14" i="2"/>
  <c r="BA14" i="2"/>
  <c r="AZ14" i="2"/>
  <c r="AY14" i="2"/>
  <c r="AX14" i="2"/>
  <c r="AW14" i="2"/>
  <c r="AU14" i="2"/>
  <c r="AT14" i="2"/>
  <c r="AS14" i="2"/>
  <c r="AR14" i="2"/>
  <c r="AQ14" i="2"/>
  <c r="AP14" i="2"/>
  <c r="AO14" i="2"/>
  <c r="AM14" i="2"/>
  <c r="AL14" i="2"/>
  <c r="AK14" i="2"/>
  <c r="AJ14" i="2"/>
  <c r="AI14" i="2"/>
  <c r="AH14" i="2"/>
  <c r="AG14" i="2"/>
  <c r="AE14" i="2"/>
  <c r="AD14" i="2"/>
  <c r="AC14" i="2"/>
  <c r="AB14" i="2"/>
  <c r="AA14" i="2"/>
  <c r="Z14" i="2"/>
  <c r="Y14" i="2"/>
  <c r="W14" i="2"/>
  <c r="V14" i="2"/>
  <c r="U14" i="2"/>
  <c r="T14" i="2"/>
  <c r="S14" i="2"/>
  <c r="R14" i="2"/>
  <c r="Q14" i="2"/>
  <c r="O14" i="2"/>
  <c r="N14" i="2"/>
  <c r="M14" i="2"/>
  <c r="L14" i="2"/>
  <c r="K14" i="2"/>
  <c r="J14" i="2"/>
  <c r="I14" i="2"/>
  <c r="BS13" i="2"/>
  <c r="BR13" i="2"/>
  <c r="BQ13" i="2"/>
  <c r="BP13" i="2"/>
  <c r="BO13" i="2"/>
  <c r="BN13" i="2"/>
  <c r="BM13" i="2"/>
  <c r="BK13" i="2"/>
  <c r="BJ13" i="2"/>
  <c r="BI13" i="2"/>
  <c r="BH13" i="2"/>
  <c r="BG13" i="2"/>
  <c r="BF13" i="2"/>
  <c r="BE13" i="2"/>
  <c r="BC13" i="2"/>
  <c r="BB13" i="2"/>
  <c r="BA13" i="2"/>
  <c r="AZ13" i="2"/>
  <c r="AY13" i="2"/>
  <c r="AX13" i="2"/>
  <c r="AW13" i="2"/>
  <c r="AU13" i="2"/>
  <c r="AT13" i="2"/>
  <c r="AS13" i="2"/>
  <c r="AR13" i="2"/>
  <c r="AQ13" i="2"/>
  <c r="AP13" i="2"/>
  <c r="AO13" i="2"/>
  <c r="AM13" i="2"/>
  <c r="AL13" i="2"/>
  <c r="AK13" i="2"/>
  <c r="AJ13" i="2"/>
  <c r="AI13" i="2"/>
  <c r="AH13" i="2"/>
  <c r="AG13" i="2"/>
  <c r="AE13" i="2"/>
  <c r="AD13" i="2"/>
  <c r="AC13" i="2"/>
  <c r="AB13" i="2"/>
  <c r="AA13" i="2"/>
  <c r="Z13" i="2"/>
  <c r="Y13" i="2"/>
  <c r="W13" i="2"/>
  <c r="V13" i="2"/>
  <c r="U13" i="2"/>
  <c r="T13" i="2"/>
  <c r="S13" i="2"/>
  <c r="R13" i="2"/>
  <c r="Q13" i="2"/>
  <c r="O13" i="2"/>
  <c r="N13" i="2"/>
  <c r="M13" i="2"/>
  <c r="L13" i="2"/>
  <c r="K13" i="2"/>
  <c r="J13" i="2"/>
  <c r="I13" i="2"/>
  <c r="BS12" i="2"/>
  <c r="BR12" i="2"/>
  <c r="BQ12" i="2"/>
  <c r="BP12" i="2"/>
  <c r="BO12" i="2"/>
  <c r="BN12" i="2"/>
  <c r="BM12" i="2"/>
  <c r="BK12" i="2"/>
  <c r="BJ12" i="2"/>
  <c r="BI12" i="2"/>
  <c r="BH12" i="2"/>
  <c r="BG12" i="2"/>
  <c r="BE12" i="2"/>
  <c r="BC12" i="2"/>
  <c r="BB12" i="2"/>
  <c r="BA12" i="2"/>
  <c r="AZ12" i="2"/>
  <c r="AY12" i="2"/>
  <c r="AW12" i="2"/>
  <c r="AU12" i="2"/>
  <c r="AT12" i="2"/>
  <c r="AS12" i="2"/>
  <c r="AQ12" i="2"/>
  <c r="AP12" i="2"/>
  <c r="AO12" i="2"/>
  <c r="AM12" i="2"/>
  <c r="AL12" i="2"/>
  <c r="AK12" i="2"/>
  <c r="AJ12" i="2"/>
  <c r="AI12" i="2"/>
  <c r="AH12" i="2"/>
  <c r="AG12" i="2"/>
  <c r="AE12" i="2"/>
  <c r="AD12" i="2"/>
  <c r="AC12" i="2"/>
  <c r="AB12" i="2"/>
  <c r="AA12" i="2"/>
  <c r="Z12" i="2"/>
  <c r="Y12" i="2"/>
  <c r="W12" i="2"/>
  <c r="V12" i="2"/>
  <c r="U12" i="2"/>
  <c r="T12" i="2"/>
  <c r="S12" i="2"/>
  <c r="R12" i="2"/>
  <c r="Q12" i="2"/>
  <c r="O12" i="2"/>
  <c r="N12" i="2"/>
  <c r="M12" i="2"/>
  <c r="L12" i="2"/>
  <c r="K12" i="2"/>
  <c r="J12" i="2"/>
  <c r="K8" i="2"/>
  <c r="BF4" i="2"/>
  <c r="BF18" i="2" s="1"/>
  <c r="BF19" i="2" s="1"/>
  <c r="AX4" i="2"/>
  <c r="AX15" i="2" s="1"/>
  <c r="AR4" i="2"/>
  <c r="AR15" i="2" s="1"/>
  <c r="I4" i="2"/>
  <c r="I18" i="2" s="1"/>
  <c r="I19" i="2" s="1"/>
  <c r="BZ91" i="1"/>
  <c r="BQ91" i="1"/>
  <c r="BH91" i="1"/>
  <c r="AY91" i="1"/>
  <c r="AP91" i="1"/>
  <c r="AG91" i="1"/>
  <c r="X91" i="1"/>
  <c r="O91" i="1"/>
  <c r="BZ90" i="1"/>
  <c r="BQ90" i="1"/>
  <c r="BH90" i="1"/>
  <c r="AY90" i="1"/>
  <c r="AP90" i="1"/>
  <c r="AG90" i="1"/>
  <c r="X90" i="1"/>
  <c r="O90" i="1"/>
  <c r="BZ87" i="1"/>
  <c r="BQ87" i="1"/>
  <c r="BH87" i="1"/>
  <c r="AY87" i="1"/>
  <c r="AP87" i="1"/>
  <c r="AG87" i="1"/>
  <c r="X87" i="1"/>
  <c r="O87" i="1"/>
  <c r="BZ86" i="1"/>
  <c r="BQ86" i="1"/>
  <c r="BH86" i="1"/>
  <c r="AY86" i="1"/>
  <c r="AP86" i="1"/>
  <c r="AG86" i="1"/>
  <c r="X86" i="1"/>
  <c r="O86" i="1"/>
  <c r="BZ83" i="1"/>
  <c r="BQ83" i="1"/>
  <c r="BH83" i="1"/>
  <c r="AY83" i="1"/>
  <c r="AP83" i="1"/>
  <c r="AG83" i="1"/>
  <c r="X83" i="1"/>
  <c r="O83" i="1"/>
  <c r="BZ82" i="1"/>
  <c r="BQ82" i="1"/>
  <c r="BH82" i="1"/>
  <c r="AY82" i="1"/>
  <c r="AP82" i="1"/>
  <c r="AG82" i="1"/>
  <c r="X82" i="1"/>
  <c r="O82" i="1"/>
  <c r="BZ81" i="1"/>
  <c r="BQ81" i="1"/>
  <c r="BA81" i="1"/>
  <c r="BH81" i="1" s="1"/>
  <c r="AY81" i="1"/>
  <c r="AP81" i="1"/>
  <c r="AD81" i="1"/>
  <c r="AG81" i="1" s="1"/>
  <c r="X81" i="1"/>
  <c r="N81" i="1"/>
  <c r="M81" i="1"/>
  <c r="L81" i="1"/>
  <c r="J81" i="1"/>
  <c r="BZ78" i="1"/>
  <c r="BQ78" i="1"/>
  <c r="BH78" i="1"/>
  <c r="AY78" i="1"/>
  <c r="AP78" i="1"/>
  <c r="AG78" i="1"/>
  <c r="X78" i="1"/>
  <c r="O78" i="1"/>
  <c r="F78" i="1"/>
  <c r="BZ77" i="1"/>
  <c r="BQ77" i="1"/>
  <c r="BH77" i="1"/>
  <c r="AY77" i="1"/>
  <c r="AP77" i="1"/>
  <c r="AG77" i="1"/>
  <c r="X77" i="1"/>
  <c r="O77" i="1"/>
  <c r="BZ76" i="1"/>
  <c r="BQ76" i="1"/>
  <c r="BH76" i="1"/>
  <c r="AY76" i="1"/>
  <c r="AP76" i="1"/>
  <c r="AG76" i="1"/>
  <c r="X76" i="1"/>
  <c r="O76" i="1"/>
  <c r="BT75" i="1"/>
  <c r="BN117" i="2" s="1"/>
  <c r="BT35" i="1" s="1"/>
  <c r="BS75" i="1"/>
  <c r="BM117" i="2" s="1"/>
  <c r="BS35" i="1" s="1"/>
  <c r="BP75" i="1"/>
  <c r="BO75" i="1"/>
  <c r="BN75" i="1"/>
  <c r="BM75" i="1"/>
  <c r="BK75" i="1"/>
  <c r="BJ75" i="1"/>
  <c r="BG75" i="1"/>
  <c r="BF75" i="1"/>
  <c r="BE75" i="1"/>
  <c r="BD75" i="1"/>
  <c r="BC75" i="1"/>
  <c r="BB75" i="1"/>
  <c r="BA75" i="1"/>
  <c r="AX75" i="1"/>
  <c r="AW75" i="1"/>
  <c r="AV75" i="1"/>
  <c r="AU75" i="1"/>
  <c r="AT75" i="1"/>
  <c r="AS75" i="1"/>
  <c r="AR75" i="1"/>
  <c r="AO75" i="1"/>
  <c r="AN75" i="1"/>
  <c r="AM75" i="1"/>
  <c r="AL75" i="1"/>
  <c r="AK75" i="1"/>
  <c r="AJ75" i="1"/>
  <c r="AI75" i="1"/>
  <c r="AF75" i="1"/>
  <c r="AE75" i="1"/>
  <c r="AD75" i="1"/>
  <c r="AC75" i="1"/>
  <c r="AB75" i="1"/>
  <c r="AA75" i="1"/>
  <c r="Z75" i="1"/>
  <c r="W75" i="1"/>
  <c r="V75" i="1"/>
  <c r="U75" i="1"/>
  <c r="T75" i="1"/>
  <c r="S75" i="1"/>
  <c r="R75" i="1"/>
  <c r="Q75" i="1"/>
  <c r="N75" i="1"/>
  <c r="M75" i="1"/>
  <c r="L75" i="1"/>
  <c r="K75" i="1"/>
  <c r="J75" i="1"/>
  <c r="I75" i="1"/>
  <c r="H75" i="1"/>
  <c r="BZ74" i="1"/>
  <c r="BQ74" i="1"/>
  <c r="BH74" i="1"/>
  <c r="AY74" i="1"/>
  <c r="AP74" i="1"/>
  <c r="AG74" i="1"/>
  <c r="X74" i="1"/>
  <c r="O74" i="1"/>
  <c r="BZ73" i="1"/>
  <c r="BQ73" i="1"/>
  <c r="BH73" i="1"/>
  <c r="AY73" i="1"/>
  <c r="AG73" i="1"/>
  <c r="X73" i="1"/>
  <c r="O73" i="1"/>
  <c r="BZ71" i="1"/>
  <c r="BQ71" i="1"/>
  <c r="BH71" i="1"/>
  <c r="AY71" i="1"/>
  <c r="AP71" i="1"/>
  <c r="AG71" i="1"/>
  <c r="X71" i="1"/>
  <c r="O71" i="1"/>
  <c r="BZ70" i="1"/>
  <c r="BQ70" i="1"/>
  <c r="BH70" i="1"/>
  <c r="AY70" i="1"/>
  <c r="AP70" i="1"/>
  <c r="AG70" i="1"/>
  <c r="X70" i="1"/>
  <c r="O70" i="1"/>
  <c r="BZ67" i="1"/>
  <c r="BQ67" i="1"/>
  <c r="BH67" i="1"/>
  <c r="AY67" i="1"/>
  <c r="AP67" i="1"/>
  <c r="AG67" i="1"/>
  <c r="X67" i="1"/>
  <c r="O67" i="1"/>
  <c r="BZ66" i="1"/>
  <c r="BQ66" i="1"/>
  <c r="AP66" i="1"/>
  <c r="BZ65" i="1"/>
  <c r="BQ65" i="1"/>
  <c r="AP65" i="1"/>
  <c r="BS64" i="1"/>
  <c r="BZ64" i="1" s="1"/>
  <c r="BQ64" i="1"/>
  <c r="BG64" i="1"/>
  <c r="BF64" i="1"/>
  <c r="BE64" i="1"/>
  <c r="BD64" i="1"/>
  <c r="BC64" i="1"/>
  <c r="BB64" i="1"/>
  <c r="BZ63" i="1"/>
  <c r="BQ63" i="1"/>
  <c r="BH63" i="1"/>
  <c r="AY63" i="1"/>
  <c r="AP63" i="1"/>
  <c r="AG63" i="1"/>
  <c r="X63" i="1"/>
  <c r="O63" i="1"/>
  <c r="BT60" i="1"/>
  <c r="BN111" i="2" s="1"/>
  <c r="BT30" i="1" s="1"/>
  <c r="BS60" i="1"/>
  <c r="BM111" i="2" s="1"/>
  <c r="BS30" i="1" s="1"/>
  <c r="BP60" i="1"/>
  <c r="BO60" i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X60" i="1"/>
  <c r="AW60" i="1"/>
  <c r="AV60" i="1"/>
  <c r="AU60" i="1"/>
  <c r="AT60" i="1"/>
  <c r="AS60" i="1"/>
  <c r="AL60" i="1"/>
  <c r="AK60" i="1"/>
  <c r="AJ60" i="1"/>
  <c r="AI60" i="1"/>
  <c r="AF60" i="1"/>
  <c r="AE60" i="1"/>
  <c r="AD60" i="1"/>
  <c r="AC60" i="1"/>
  <c r="AB60" i="1"/>
  <c r="AA60" i="1"/>
  <c r="Z60" i="1"/>
  <c r="W60" i="1"/>
  <c r="V60" i="1"/>
  <c r="U60" i="1"/>
  <c r="T60" i="1"/>
  <c r="S60" i="1"/>
  <c r="R60" i="1"/>
  <c r="Q60" i="1"/>
  <c r="N60" i="1"/>
  <c r="M60" i="1"/>
  <c r="L60" i="1"/>
  <c r="K60" i="1"/>
  <c r="J60" i="1"/>
  <c r="I60" i="1"/>
  <c r="H60" i="1"/>
  <c r="BZ59" i="1"/>
  <c r="BQ59" i="1"/>
  <c r="BH59" i="1"/>
  <c r="AY59" i="1"/>
  <c r="AP59" i="1"/>
  <c r="AG59" i="1"/>
  <c r="X59" i="1"/>
  <c r="O59" i="1"/>
  <c r="BZ58" i="1"/>
  <c r="BQ58" i="1"/>
  <c r="BH58" i="1"/>
  <c r="AY58" i="1"/>
  <c r="AP58" i="1"/>
  <c r="AG58" i="1"/>
  <c r="X58" i="1"/>
  <c r="O58" i="1"/>
  <c r="BZ57" i="1"/>
  <c r="BQ57" i="1"/>
  <c r="BH57" i="1"/>
  <c r="AY57" i="1"/>
  <c r="AP57" i="1"/>
  <c r="AG57" i="1"/>
  <c r="X57" i="1"/>
  <c r="O57" i="1"/>
  <c r="BZ56" i="1"/>
  <c r="BQ56" i="1"/>
  <c r="BH56" i="1"/>
  <c r="AY56" i="1"/>
  <c r="AP56" i="1"/>
  <c r="AG56" i="1"/>
  <c r="X56" i="1"/>
  <c r="O56" i="1"/>
  <c r="F53" i="1"/>
  <c r="BH51" i="1"/>
  <c r="AY51" i="1"/>
  <c r="AG51" i="1"/>
  <c r="BZ50" i="1"/>
  <c r="F50" i="1"/>
  <c r="F49" i="1"/>
  <c r="AY49" i="1"/>
  <c r="F48" i="1"/>
  <c r="AY48" i="1"/>
  <c r="F47" i="1"/>
  <c r="AY47" i="1"/>
  <c r="BQ35" i="1"/>
  <c r="BQ34" i="1"/>
  <c r="BQ33" i="1"/>
  <c r="BQ32" i="1"/>
  <c r="BQ31" i="1"/>
  <c r="BQ30" i="1"/>
  <c r="BQ29" i="1"/>
  <c r="BQ28" i="1"/>
  <c r="BZ27" i="1"/>
  <c r="BQ27" i="1"/>
  <c r="BQ26" i="1"/>
  <c r="BQ25" i="1"/>
  <c r="BQ24" i="1"/>
  <c r="BQ23" i="1"/>
  <c r="BP119" i="2" l="1"/>
  <c r="BR119" i="2"/>
  <c r="BQ119" i="2"/>
  <c r="BT82" i="2"/>
  <c r="BO56" i="2"/>
  <c r="BO125" i="2"/>
  <c r="BS119" i="2"/>
  <c r="BO36" i="2"/>
  <c r="BO37" i="2" s="1"/>
  <c r="BO119" i="2" s="1"/>
  <c r="BO120" i="2"/>
  <c r="BP56" i="2"/>
  <c r="BP125" i="2"/>
  <c r="BW23" i="1"/>
  <c r="BQ122" i="2"/>
  <c r="BN36" i="2"/>
  <c r="BN37" i="2" s="1"/>
  <c r="BN119" i="2" s="1"/>
  <c r="BN120" i="2"/>
  <c r="BS56" i="2"/>
  <c r="BS125" i="2"/>
  <c r="BN107" i="2"/>
  <c r="BT26" i="1" s="1"/>
  <c r="BN128" i="2"/>
  <c r="BT23" i="1"/>
  <c r="BN122" i="2"/>
  <c r="BM56" i="2"/>
  <c r="BM125" i="2"/>
  <c r="BQ56" i="2"/>
  <c r="BQ125" i="2"/>
  <c r="BV23" i="1"/>
  <c r="BP122" i="2"/>
  <c r="BS23" i="1"/>
  <c r="BX23" i="1"/>
  <c r="BR122" i="2"/>
  <c r="BS16" i="1"/>
  <c r="BZ16" i="1" s="1"/>
  <c r="BM120" i="2"/>
  <c r="BT22" i="2"/>
  <c r="BN56" i="2"/>
  <c r="BN125" i="2"/>
  <c r="BR56" i="2"/>
  <c r="BR125" i="2"/>
  <c r="BM62" i="2"/>
  <c r="BM128" i="2"/>
  <c r="BT58" i="2"/>
  <c r="BY23" i="1"/>
  <c r="BS122" i="2"/>
  <c r="BU23" i="1"/>
  <c r="BO122" i="2"/>
  <c r="V62" i="2"/>
  <c r="AR12" i="2"/>
  <c r="J28" i="2"/>
  <c r="J29" i="2" s="1"/>
  <c r="N28" i="2"/>
  <c r="N29" i="2" s="1"/>
  <c r="S28" i="2"/>
  <c r="S29" i="2" s="1"/>
  <c r="W28" i="2"/>
  <c r="W29" i="2" s="1"/>
  <c r="AB28" i="2"/>
  <c r="AB29" i="2" s="1"/>
  <c r="BC28" i="2"/>
  <c r="S63" i="2"/>
  <c r="AH28" i="2"/>
  <c r="AH29" i="2" s="1"/>
  <c r="BO33" i="2"/>
  <c r="L28" i="2"/>
  <c r="L29" i="2" s="1"/>
  <c r="Q28" i="2"/>
  <c r="Q29" i="2" s="1"/>
  <c r="U28" i="2"/>
  <c r="U29" i="2" s="1"/>
  <c r="Z28" i="2"/>
  <c r="Z29" i="2" s="1"/>
  <c r="AD28" i="2"/>
  <c r="AD29" i="2" s="1"/>
  <c r="AR28" i="2"/>
  <c r="AB30" i="2"/>
  <c r="AX12" i="2"/>
  <c r="BJ30" i="2"/>
  <c r="U63" i="2"/>
  <c r="AR18" i="2"/>
  <c r="AR19" i="2" s="1"/>
  <c r="J30" i="2"/>
  <c r="AY30" i="2"/>
  <c r="BN30" i="2"/>
  <c r="AX18" i="2"/>
  <c r="AX19" i="2" s="1"/>
  <c r="W30" i="2"/>
  <c r="AR30" i="2"/>
  <c r="BC30" i="2"/>
  <c r="Y62" i="2"/>
  <c r="N30" i="2"/>
  <c r="BO30" i="2"/>
  <c r="S30" i="2"/>
  <c r="AH30" i="2"/>
  <c r="BI30" i="2"/>
  <c r="AR33" i="2"/>
  <c r="BJ33" i="2"/>
  <c r="AG49" i="1"/>
  <c r="AG48" i="1"/>
  <c r="BQ48" i="1"/>
  <c r="AP10" i="1"/>
  <c r="AP11" i="1"/>
  <c r="BZ11" i="1"/>
  <c r="AP12" i="1"/>
  <c r="AP13" i="1"/>
  <c r="BZ13" i="1"/>
  <c r="AG16" i="1"/>
  <c r="BQ16" i="1"/>
  <c r="AG17" i="1"/>
  <c r="BZ17" i="1"/>
  <c r="AP18" i="1"/>
  <c r="BZ18" i="1"/>
  <c r="AP19" i="1"/>
  <c r="BZ19" i="1"/>
  <c r="AP20" i="1"/>
  <c r="BZ20" i="1"/>
  <c r="AP38" i="1"/>
  <c r="X39" i="1"/>
  <c r="X40" i="1"/>
  <c r="BZ40" i="1"/>
  <c r="AP43" i="1"/>
  <c r="BZ43" i="1"/>
  <c r="AP44" i="1"/>
  <c r="BZ44" i="1"/>
  <c r="BQ49" i="1"/>
  <c r="AY53" i="1"/>
  <c r="O60" i="1"/>
  <c r="AY60" i="1"/>
  <c r="AP75" i="1"/>
  <c r="BZ75" i="1"/>
  <c r="AG10" i="1"/>
  <c r="BQ10" i="1"/>
  <c r="AG11" i="1"/>
  <c r="BQ11" i="1"/>
  <c r="AG12" i="1"/>
  <c r="BQ12" i="1"/>
  <c r="AG13" i="1"/>
  <c r="BQ13" i="1"/>
  <c r="X16" i="1"/>
  <c r="BH16" i="1"/>
  <c r="X17" i="1"/>
  <c r="BQ17" i="1"/>
  <c r="AG18" i="1"/>
  <c r="BQ18" i="1"/>
  <c r="X19" i="1"/>
  <c r="AG19" i="1"/>
  <c r="BQ19" i="1"/>
  <c r="AG20" i="1"/>
  <c r="BQ20" i="1"/>
  <c r="AG38" i="1"/>
  <c r="BQ40" i="1"/>
  <c r="AG43" i="1"/>
  <c r="AY43" i="1"/>
  <c r="BQ43" i="1"/>
  <c r="AG44" i="1"/>
  <c r="BQ44" i="1"/>
  <c r="O47" i="1"/>
  <c r="X48" i="1"/>
  <c r="BH48" i="1"/>
  <c r="X49" i="1"/>
  <c r="BZ49" i="1"/>
  <c r="AP53" i="1"/>
  <c r="BZ53" i="1"/>
  <c r="BZ60" i="1"/>
  <c r="AG75" i="1"/>
  <c r="BQ75" i="1"/>
  <c r="O81" i="1"/>
  <c r="X10" i="1"/>
  <c r="BH10" i="1"/>
  <c r="X11" i="1"/>
  <c r="BH11" i="1"/>
  <c r="X12" i="1"/>
  <c r="BH12" i="1"/>
  <c r="X13" i="1"/>
  <c r="BH13" i="1"/>
  <c r="AY16" i="1"/>
  <c r="O17" i="1"/>
  <c r="AY17" i="1"/>
  <c r="BH17" i="1"/>
  <c r="X18" i="1"/>
  <c r="BH18" i="1"/>
  <c r="BH19" i="1"/>
  <c r="X20" i="1"/>
  <c r="BH20" i="1"/>
  <c r="X38" i="1"/>
  <c r="BH39" i="1"/>
  <c r="BH40" i="1"/>
  <c r="X43" i="1"/>
  <c r="BH43" i="1"/>
  <c r="X44" i="1"/>
  <c r="O48" i="1"/>
  <c r="O49" i="1"/>
  <c r="BH49" i="1"/>
  <c r="O50" i="1"/>
  <c r="AY50" i="1"/>
  <c r="O51" i="1"/>
  <c r="BQ53" i="1"/>
  <c r="AG60" i="1"/>
  <c r="BQ60" i="1"/>
  <c r="X75" i="1"/>
  <c r="BH75" i="1"/>
  <c r="O10" i="1"/>
  <c r="AY10" i="1"/>
  <c r="O11" i="1"/>
  <c r="AY11" i="1"/>
  <c r="O12" i="1"/>
  <c r="AY12" i="1"/>
  <c r="O13" i="1"/>
  <c r="AY13" i="1"/>
  <c r="O16" i="1"/>
  <c r="AP16" i="1"/>
  <c r="AP17" i="1"/>
  <c r="O18" i="1"/>
  <c r="AY18" i="1"/>
  <c r="O19" i="1"/>
  <c r="AY19" i="1"/>
  <c r="O20" i="1"/>
  <c r="AY20" i="1"/>
  <c r="O38" i="1"/>
  <c r="AY38" i="1"/>
  <c r="BH38" i="1"/>
  <c r="BQ38" i="1"/>
  <c r="AG39" i="1"/>
  <c r="BQ39" i="1"/>
  <c r="AG40" i="1"/>
  <c r="O43" i="1"/>
  <c r="O44" i="1"/>
  <c r="AP48" i="1"/>
  <c r="BZ48" i="1"/>
  <c r="AP49" i="1"/>
  <c r="AP50" i="1"/>
  <c r="AP51" i="1"/>
  <c r="BZ51" i="1"/>
  <c r="O53" i="1"/>
  <c r="BH53" i="1"/>
  <c r="X60" i="1"/>
  <c r="BH60" i="1"/>
  <c r="O75" i="1"/>
  <c r="AY75" i="1"/>
  <c r="K32" i="2"/>
  <c r="K31" i="2"/>
  <c r="AP36" i="2"/>
  <c r="AP37" i="2" s="1"/>
  <c r="AP33" i="2"/>
  <c r="AP30" i="2"/>
  <c r="BK36" i="2"/>
  <c r="BK37" i="2" s="1"/>
  <c r="BK33" i="2"/>
  <c r="BK30" i="2"/>
  <c r="Q33" i="2"/>
  <c r="BA36" i="2"/>
  <c r="BA37" i="2" s="1"/>
  <c r="BF12" i="2"/>
  <c r="I36" i="2"/>
  <c r="I37" i="2" s="1"/>
  <c r="I33" i="2"/>
  <c r="I30" i="2"/>
  <c r="R36" i="2"/>
  <c r="R37" i="2" s="1"/>
  <c r="R33" i="2"/>
  <c r="R30" i="2"/>
  <c r="AA36" i="2"/>
  <c r="AA37" i="2" s="1"/>
  <c r="AA33" i="2"/>
  <c r="AA30" i="2"/>
  <c r="AQ36" i="2"/>
  <c r="AQ37" i="2" s="1"/>
  <c r="AQ33" i="2"/>
  <c r="AQ30" i="2"/>
  <c r="BB36" i="2"/>
  <c r="BB37" i="2" s="1"/>
  <c r="BB33" i="2"/>
  <c r="BB30" i="2"/>
  <c r="BM36" i="2"/>
  <c r="BM37" i="2" s="1"/>
  <c r="BM119" i="2" s="1"/>
  <c r="BM33" i="2"/>
  <c r="BM30" i="2"/>
  <c r="U30" i="2"/>
  <c r="Z36" i="2"/>
  <c r="Z37" i="2" s="1"/>
  <c r="BF36" i="2"/>
  <c r="BF37" i="2" s="1"/>
  <c r="I12" i="2"/>
  <c r="I15" i="2"/>
  <c r="Z33" i="2"/>
  <c r="BF33" i="2"/>
  <c r="L36" i="2"/>
  <c r="L37" i="2" s="1"/>
  <c r="AD36" i="2"/>
  <c r="AD37" i="2" s="1"/>
  <c r="W62" i="2"/>
  <c r="AT36" i="2"/>
  <c r="AT37" i="2" s="1"/>
  <c r="AT33" i="2"/>
  <c r="AT30" i="2"/>
  <c r="U36" i="2"/>
  <c r="U37" i="2" s="1"/>
  <c r="BF15" i="2"/>
  <c r="M36" i="2"/>
  <c r="M37" i="2" s="1"/>
  <c r="M33" i="2"/>
  <c r="M30" i="2"/>
  <c r="V36" i="2"/>
  <c r="V37" i="2" s="1"/>
  <c r="V33" i="2"/>
  <c r="V30" i="2"/>
  <c r="AE36" i="2"/>
  <c r="AE37" i="2" s="1"/>
  <c r="AE33" i="2"/>
  <c r="AE30" i="2"/>
  <c r="AU36" i="2"/>
  <c r="AU37" i="2" s="1"/>
  <c r="AU33" i="2"/>
  <c r="AU30" i="2"/>
  <c r="BH36" i="2"/>
  <c r="BH37" i="2" s="1"/>
  <c r="BH33" i="2"/>
  <c r="BH30" i="2"/>
  <c r="L30" i="2"/>
  <c r="AD30" i="2"/>
  <c r="BA30" i="2"/>
  <c r="K36" i="2"/>
  <c r="K37" i="2" s="1"/>
  <c r="K33" i="2"/>
  <c r="K30" i="2"/>
  <c r="O36" i="2"/>
  <c r="O37" i="2" s="1"/>
  <c r="O33" i="2"/>
  <c r="O30" i="2"/>
  <c r="T36" i="2"/>
  <c r="T37" i="2" s="1"/>
  <c r="T33" i="2"/>
  <c r="T30" i="2"/>
  <c r="Y36" i="2"/>
  <c r="Y37" i="2" s="1"/>
  <c r="Y33" i="2"/>
  <c r="Y30" i="2"/>
  <c r="AC36" i="2"/>
  <c r="AC37" i="2" s="1"/>
  <c r="AC33" i="2"/>
  <c r="AC30" i="2"/>
  <c r="AJ36" i="2"/>
  <c r="AJ37" i="2" s="1"/>
  <c r="AJ33" i="2"/>
  <c r="AJ30" i="2"/>
  <c r="AS36" i="2"/>
  <c r="AS37" i="2" s="1"/>
  <c r="AS33" i="2"/>
  <c r="AS30" i="2"/>
  <c r="AZ36" i="2"/>
  <c r="AZ37" i="2" s="1"/>
  <c r="AZ33" i="2"/>
  <c r="AZ30" i="2"/>
  <c r="BE36" i="2"/>
  <c r="BE37" i="2" s="1"/>
  <c r="BE33" i="2"/>
  <c r="BE30" i="2"/>
  <c r="Q30" i="2"/>
  <c r="U62" i="2"/>
  <c r="BN62" i="2"/>
  <c r="J33" i="2"/>
  <c r="N33" i="2"/>
  <c r="S33" i="2"/>
  <c r="W33" i="2"/>
  <c r="AB33" i="2"/>
  <c r="AY33" i="2"/>
  <c r="BC33" i="2"/>
  <c r="AH33" i="2"/>
  <c r="BI33" i="2"/>
  <c r="BN33" i="2"/>
  <c r="O39" i="1"/>
  <c r="AY39" i="1"/>
  <c r="O40" i="1"/>
  <c r="AY40" i="1"/>
  <c r="AP47" i="1"/>
  <c r="BZ47" i="1"/>
  <c r="AG50" i="1"/>
  <c r="BQ50" i="1"/>
  <c r="BQ51" i="1"/>
  <c r="AP60" i="1"/>
  <c r="BZ10" i="1"/>
  <c r="BZ12" i="1"/>
  <c r="BZ38" i="1"/>
  <c r="AP39" i="1"/>
  <c r="BZ39" i="1"/>
  <c r="AP40" i="1"/>
  <c r="AY44" i="1"/>
  <c r="AG47" i="1"/>
  <c r="BQ47" i="1"/>
  <c r="X50" i="1"/>
  <c r="BH50" i="1"/>
  <c r="X51" i="1"/>
  <c r="AG53" i="1"/>
  <c r="BH44" i="1"/>
  <c r="X47" i="1"/>
  <c r="BH47" i="1"/>
  <c r="X53" i="1"/>
  <c r="BR126" i="2" l="1"/>
  <c r="BR124" i="2"/>
  <c r="BP124" i="2"/>
  <c r="BP126" i="2"/>
  <c r="BM126" i="2"/>
  <c r="BM124" i="2"/>
  <c r="BQ126" i="2"/>
  <c r="BQ124" i="2"/>
  <c r="BS124" i="2"/>
  <c r="BS126" i="2"/>
  <c r="BN126" i="2"/>
  <c r="BN124" i="2"/>
  <c r="BO126" i="2"/>
  <c r="BO124" i="2"/>
  <c r="BZ34" i="1"/>
  <c r="BZ35" i="1"/>
  <c r="BZ25" i="1"/>
  <c r="BZ33" i="1"/>
  <c r="BZ30" i="1"/>
  <c r="BZ31" i="1"/>
  <c r="BZ28" i="1"/>
  <c r="BZ26" i="1"/>
  <c r="BZ29" i="1"/>
  <c r="BZ23" i="1"/>
  <c r="BZ32" i="1"/>
  <c r="BZ24" i="1"/>
</calcChain>
</file>

<file path=xl/comments1.xml><?xml version="1.0" encoding="utf-8"?>
<comments xmlns="http://schemas.openxmlformats.org/spreadsheetml/2006/main">
  <authors>
    <author>Daniel Eugenio Aguirre</author>
  </authors>
  <commentList>
    <comment ref="Z21" authorId="0">
      <text>
        <r>
          <rPr>
            <b/>
            <sz val="11"/>
            <color indexed="81"/>
            <rFont val="Tahoma"/>
            <family val="2"/>
          </rPr>
          <t>Daniel Eugenio Aguirre:</t>
        </r>
        <r>
          <rPr>
            <sz val="11"/>
            <color indexed="81"/>
            <rFont val="Tahoma"/>
            <family val="2"/>
          </rPr>
          <t xml:space="preserve">
Area de oportunidad: 
- Viernes 20 de marzo 
Consumo de 14,200 kwh por parte de 3 módulos, para una producción sw 13.7 MCE
- Sábado 21 de marzo 
consumo de 9,200 kwh (5,000 kwh MENOS que el día anterior) por parte de 2 módulos, para una producción de 13.9 MCE (Mayor que el día anterior.)
- 1 servicio extraordinario
16,000 m3 viernes
13,000 m3 sabado</t>
        </r>
      </text>
    </comment>
    <comment ref="AK21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SD33 Registró 800 M3 de consumo de aire comprimido, no venía en el daily.
</t>
        </r>
      </text>
    </comment>
    <comment ref="AS21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SD33 Registró 800 M3 de consumo de aire comprimido, no venía en el daily.
</t>
        </r>
      </text>
    </comment>
    <comment ref="BA21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SD01   2900 M3 A.C // 5.5
SD03   173 M3 A.C. // 3.8 
SD13   1350 M3 A.C. // 1.3
SD33   1351 M3 A.C.//  2.2  
SD05  2700 M3 A.C. // NO REPORTO PRODUCCIÓN. </t>
        </r>
      </text>
    </comment>
    <comment ref="BB21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SD05  1,476.00 M3 // NP
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SUR Trabajaron 7 módulos y tuvieron 23 MCE de producción. 
NORTE trabajó con 8 módulos y produjo 48.2 MCE
SUR
Consumo total de energía eléctrica = 32,000kwh
Aire comprimido = 46,309M3
Vacío = 8,554M3
CBRE reporta que no hubo servicios extraordinarios el día de ayer.</t>
        </r>
      </text>
    </comment>
    <comment ref="Z23" authorId="0">
      <text>
        <r>
          <rPr>
            <b/>
            <sz val="9"/>
            <color indexed="81"/>
            <rFont val="Tahoma"/>
            <family val="2"/>
          </rPr>
          <t xml:space="preserve">Daniel Eugenio Aguirre:
</t>
        </r>
        <r>
          <rPr>
            <sz val="9"/>
            <color indexed="81"/>
            <rFont val="Tahoma"/>
            <family val="2"/>
          </rPr>
          <t xml:space="preserve">Sábado 21 de marzo
- Daily solo reporta 1 módulo trabajando, sin embargo hubo un consumo total de 18, 561 kwh de SMD SUR totales, 20,000 M3 de aire comprimido, y 3,000 M3 de vacío.
- Contextualización del área de oportunidad: comparación contra el día martes (todo dentro de target) </t>
        </r>
      </text>
    </comment>
    <comment ref="Z24" authorId="0">
      <text>
        <r>
          <rPr>
            <b/>
            <sz val="9"/>
            <color indexed="81"/>
            <rFont val="Tahoma"/>
            <charset val="1"/>
          </rPr>
          <t>Daniel Eugenio Aguirre:
MARTES DE ESTA SEMANA</t>
        </r>
        <r>
          <rPr>
            <sz val="9"/>
            <color indexed="81"/>
            <rFont val="Tahoma"/>
            <charset val="1"/>
          </rPr>
          <t xml:space="preserve">
- KWH: Cada módulo consumio en promedio 1242 kwh.
- Aire comprimido: Cada módulo consumio en promedio 6615 M3
- Vacío: 1222 M3 por módulo. 
Comparado con el día sábado: 
trabajó un módulo y 5 servicios extraordinarios (SD21, SD24, SD42, SD26, SD44)
kwh : 4,435
a.c. : 19,000
Vacío: 3,000
</t>
        </r>
      </text>
    </comment>
    <comment ref="AC33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</rPr>
          <t xml:space="preserve">caldera #4 trabajo 23 hrs mayor demanda  de vapor
</t>
        </r>
      </text>
    </comment>
    <comment ref="N35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SE AGREGO APARTADO PARA EFICIENCIA EN DASHBOARD DE CALDERAS.
</t>
        </r>
      </text>
    </comment>
    <comment ref="BC3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84.98 TONELADAS DE VAPOR
83.4 TON DE TABACO
Variación de requerimiento de vapor de 4 hasta 5.9 TN.
Mucho tiempo de Stand By</t>
        </r>
      </text>
    </comment>
    <comment ref="BD3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20% MAS CONSUMO</t>
        </r>
      </text>
    </comment>
    <comment ref="BD38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25% MAS DE CONSUMO</t>
        </r>
      </text>
    </comment>
    <comment ref="BD3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17% MAS CONSUMO</t>
        </r>
      </text>
    </comment>
    <comment ref="BD40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20% MAS CONSUMO
</t>
        </r>
      </text>
    </comment>
    <comment ref="X47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HUMEDAD MÁXIMA 93.9%
TEMPERATURA MÁXIMA 35C
</t>
        </r>
      </text>
    </comment>
    <comment ref="Z4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Bajó su consumo a 3,000 kwh de 11,000 en promedio de la semana.
Filltros Sur 
Chiller 7 
Chiller 3 (Solo el viernes)
</t>
        </r>
      </text>
    </comment>
  </commentList>
</comments>
</file>

<file path=xl/comments2.xml><?xml version="1.0" encoding="utf-8"?>
<comments xmlns="http://schemas.openxmlformats.org/spreadsheetml/2006/main">
  <authors>
    <author>Daniel Eugenio Aguirre</author>
    <author>Damaris Anrubio Radilla</author>
  </authors>
  <commentList>
    <comment ref="CQ3" authorId="0">
      <text>
        <r>
          <rPr>
            <b/>
            <sz val="16"/>
            <color indexed="81"/>
            <rFont val="Tahoma"/>
            <family val="2"/>
          </rPr>
          <t>Daniel Eugenio Aguirre:</t>
        </r>
        <r>
          <rPr>
            <sz val="16"/>
            <color indexed="81"/>
            <rFont val="Tahoma"/>
            <family val="2"/>
          </rPr>
          <t xml:space="preserve">
60% del día de ayer de MCE
14% mas de Aire comprimido
</t>
        </r>
      </text>
    </comment>
    <comment ref="CQ21" authorId="0">
      <text>
        <r>
          <rPr>
            <b/>
            <sz val="16"/>
            <color indexed="81"/>
            <rFont val="Tahoma"/>
            <family val="2"/>
          </rPr>
          <t>Daniel Eugenio Aguirre:</t>
        </r>
        <r>
          <rPr>
            <sz val="16"/>
            <color indexed="81"/>
            <rFont val="Tahoma"/>
            <family val="2"/>
          </rPr>
          <t xml:space="preserve">
20% menos de producción
20% más aire comprimido
2 servicios extraordinarios
</t>
        </r>
      </text>
    </comment>
    <comment ref="E71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MA18 VALORES NEGATIVOS Y MA19 VALORES EN 0
</t>
        </r>
      </text>
    </comment>
    <comment ref="E73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MA18 VALORES NEGATIVOS Y MA19 VALORES EN 0
</t>
        </r>
      </text>
    </comment>
    <comment ref="C80" authorId="0">
      <text>
        <r>
          <rPr>
            <b/>
            <sz val="12"/>
            <color indexed="81"/>
            <rFont val="Tahoma"/>
            <family val="2"/>
          </rPr>
          <t>Daniel Eugenio Aguirre:</t>
        </r>
        <r>
          <rPr>
            <sz val="12"/>
            <color indexed="81"/>
            <rFont val="Tahoma"/>
            <family val="2"/>
          </rPr>
          <t xml:space="preserve">
LOS CPS Y AN SE SUMAN MANUALMENTE DEL NUMERO OBTENDIO DE LOS DOS REPORTES Y SE COLOCA EN EL ESPACIO DE EXCEL.
</t>
        </r>
      </text>
    </comment>
    <comment ref="E80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ME211 REVISAR ESCALAMIENTO</t>
        </r>
      </text>
    </comment>
    <comment ref="D104" authorId="0">
      <text>
        <r>
          <rPr>
            <b/>
            <sz val="9"/>
            <color indexed="81"/>
            <rFont val="Tahoma"/>
            <family val="2"/>
          </rPr>
          <t xml:space="preserve">Daniel Eugenio Aguirre:
Cuantos modulos trabajaron?
</t>
        </r>
      </text>
    </comment>
    <comment ref="BX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G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P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Y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H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Q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Z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EI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ER104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BX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G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P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Y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DH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DQ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DZ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EI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ER106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BX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G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P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Y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H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Q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Z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EI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ER107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114" authorId="0">
      <text>
        <r>
          <rPr>
            <b/>
            <sz val="9"/>
            <color indexed="81"/>
            <rFont val="Tahoma"/>
            <family val="2"/>
          </rPr>
          <t xml:space="preserve">Daniel Eugenio Aguirre:
</t>
        </r>
      </text>
    </comment>
    <comment ref="D115" authorId="0">
      <text>
        <r>
          <rPr>
            <b/>
            <sz val="9"/>
            <color indexed="81"/>
            <rFont val="Tahoma"/>
            <family val="2"/>
          </rPr>
          <t xml:space="preserve">Daniel Eugenio Aguirre:
Temperatura del día anterior?
</t>
        </r>
      </text>
    </comment>
    <comment ref="D116" authorId="0">
      <text>
        <r>
          <rPr>
            <b/>
            <sz val="9"/>
            <color indexed="81"/>
            <rFont val="Tahoma"/>
            <family val="2"/>
          </rPr>
          <t>Daniel Eugenio Aguirre:
Cuantos módulos trabajaron?</t>
        </r>
      </text>
    </comment>
    <comment ref="D117" authorId="0">
      <text>
        <r>
          <rPr>
            <b/>
            <sz val="9"/>
            <color indexed="81"/>
            <rFont val="Tahoma"/>
            <family val="2"/>
          </rPr>
          <t>Daniel
Cuantos equipos estuvieron encendidos?
Por que?</t>
        </r>
      </text>
    </comment>
    <comment ref="D119" authorId="0">
      <text>
        <r>
          <rPr>
            <b/>
            <sz val="9"/>
            <color indexed="81"/>
            <rFont val="Tahoma"/>
            <family val="2"/>
          </rPr>
          <t xml:space="preserve">Daniel Eugenio Aguirre:
Cuantos modulos trabajaron?
</t>
        </r>
      </text>
    </comment>
    <comment ref="BX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G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P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Y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H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Q119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BX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G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P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CY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DH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DQ121" authorId="0">
      <text>
        <r>
          <rPr>
            <b/>
            <sz val="9"/>
            <color indexed="81"/>
            <rFont val="Tahoma"/>
            <charset val="1"/>
          </rPr>
          <t>Daniel Eugenio Aguirre
Resta de Energy Metrix, sale alto consumo, viene sumado lo del 2 días.</t>
        </r>
      </text>
    </comment>
    <comment ref="BX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G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P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CY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H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Q122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Resta de Energy Metrix, sale alto consumo, viene sumado lo del 2 días.</t>
        </r>
      </text>
    </comment>
    <comment ref="D129" authorId="0">
      <text>
        <r>
          <rPr>
            <b/>
            <sz val="9"/>
            <color indexed="81"/>
            <rFont val="Tahoma"/>
            <family val="2"/>
          </rPr>
          <t xml:space="preserve">Daniel Eugenio Aguirre:
</t>
        </r>
      </text>
    </comment>
    <comment ref="D130" authorId="0">
      <text>
        <r>
          <rPr>
            <b/>
            <sz val="9"/>
            <color indexed="81"/>
            <rFont val="Tahoma"/>
            <family val="2"/>
          </rPr>
          <t xml:space="preserve">Daniel Eugenio Aguirre:
Temperatura del día anterior?
</t>
        </r>
      </text>
    </comment>
    <comment ref="D131" authorId="0">
      <text>
        <r>
          <rPr>
            <b/>
            <sz val="9"/>
            <color indexed="81"/>
            <rFont val="Tahoma"/>
            <family val="2"/>
          </rPr>
          <t>Daniel Eugenio Aguirre:
Cuantos módulos trabajaron?</t>
        </r>
      </text>
    </comment>
    <comment ref="D132" authorId="0">
      <text>
        <r>
          <rPr>
            <b/>
            <sz val="9"/>
            <color indexed="81"/>
            <rFont val="Tahoma"/>
            <family val="2"/>
          </rPr>
          <t>Daniel
Cuantos equipos estuvieron encendidos?
Por que?</t>
        </r>
      </text>
    </comment>
  </commentList>
</comments>
</file>

<file path=xl/comments3.xml><?xml version="1.0" encoding="utf-8"?>
<comments xmlns="http://schemas.openxmlformats.org/spreadsheetml/2006/main">
  <authors>
    <author>Daniel Eugenio Aguirre</author>
    <author>Alejandra Flores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SMD NORTE (FABRICA) + SMD SUR (FABRICA)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FALTA FMD NORTE DE SUMAR A ESTAS CANTIDADES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SMD NORTE (FABRICA) + SMD SUR (FABRICA)
</t>
        </r>
      </text>
    </comment>
    <comment ref="V3" authorId="1">
      <text>
        <r>
          <rPr>
            <b/>
            <sz val="9"/>
            <color indexed="81"/>
            <rFont val="Tahoma"/>
            <family val="2"/>
          </rPr>
          <t>Alejandra Flores:</t>
        </r>
        <r>
          <rPr>
            <sz val="9"/>
            <color indexed="81"/>
            <rFont val="Tahoma"/>
            <family val="2"/>
          </rPr>
          <t xml:space="preserve">
se están haciendo adecuaciones en unos ramales . Listo en Feb 2020.</t>
        </r>
      </text>
    </comment>
    <comment ref="V5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FMD NORTE MAC13 + MAC59
FMD SUR TOTAL - SUMATORIA DE MODULOS</t>
        </r>
      </text>
    </comment>
    <comment ref="AB5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Temperatura Máx. Prom. 30C
Temperatura Min. Prom.
18C
Temperatura Máxima 37C
6 días con temperaturas arriba de 35C
</t>
        </r>
      </text>
    </comment>
    <comment ref="V6" authorId="0">
      <text>
        <r>
          <rPr>
            <b/>
            <sz val="9"/>
            <color indexed="81"/>
            <rFont val="Tahoma"/>
            <charset val="1"/>
          </rPr>
          <t>Daniel Eugenio Aguirre:</t>
        </r>
        <r>
          <rPr>
            <sz val="9"/>
            <color indexed="81"/>
            <rFont val="Tahoma"/>
            <charset val="1"/>
          </rPr>
          <t xml:space="preserve">
FMD NORTE MAC13 + MAC59
FMD SUR TOTAL - SUMATORIA DE MODULOS</t>
        </r>
      </text>
    </comment>
  </commentList>
</comments>
</file>

<file path=xl/comments4.xml><?xml version="1.0" encoding="utf-8"?>
<comments xmlns="http://schemas.openxmlformats.org/spreadsheetml/2006/main">
  <authors>
    <author>Daniel Eugenio Aguirre</author>
    <author>Damaris Anrubio Radilla</author>
  </authors>
  <commentList>
    <comment ref="H18" authorId="0">
      <text>
        <r>
          <rPr>
            <b/>
            <sz val="9"/>
            <color indexed="81"/>
            <rFont val="Tahoma"/>
            <family val="2"/>
          </rPr>
          <t xml:space="preserve">Daniel Eugenio Aguirre:
Revisar medior en energy metrix.
</t>
        </r>
      </text>
    </comment>
    <comment ref="CE24" authorId="0">
      <text>
        <r>
          <rPr>
            <b/>
            <sz val="11"/>
            <color indexed="81"/>
            <rFont val="Tahoma"/>
            <family val="2"/>
          </rPr>
          <t>Daniel Eugenio Aguirre:
- SD02 consumo de 8 AM a 6:30 PM de EE, Aire Comprimido (1,097 Nm3) y Vacío (1,385 Nm3), sin embargo no se reportó producción.</t>
        </r>
      </text>
    </comment>
    <comment ref="CE25" authorId="0">
      <text>
        <r>
          <rPr>
            <b/>
            <sz val="11"/>
            <color indexed="81"/>
            <rFont val="Tahoma"/>
            <family val="2"/>
          </rPr>
          <t xml:space="preserve">Daniel Eugenio Aguirre:
- Módulo SD46 terminó el 16.2% de su producción. Utilizó Aire Comprimido pero solo hizo 0.8 MCE de 4.6 MCE.
- CONSUMO DE AIRE COMPRIMIDO 1655M3 para 0.8 MCE DE PRODUCCIÓN
-SD07 solo terminó el 23.7% de la producción, 0.9 de 4 MCE. Utilizó aire comprimido durante su jornada sin embargo no terminó la producción.
-SD06 956m3 de consumo de aire comprimido, y no tuvo producción.
</t>
        </r>
      </text>
    </comment>
    <comment ref="CD26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- Medidor de FMD Sur caído el día de ayer, registra el acumulado.</t>
        </r>
      </text>
    </comment>
    <comment ref="CD28" authorId="0">
      <text>
        <r>
          <rPr>
            <b/>
            <sz val="11"/>
            <color indexed="81"/>
            <rFont val="Tahoma"/>
            <family val="2"/>
          </rPr>
          <t xml:space="preserve">Daniel Eugenio Aguirre:
-Baja producción por parte de PMD, sin embargo consumieron 45 Tn de Vapor. 
- Se comunico con PMD para verificar si hubo producción no reportada, acumulada para el día siguiente, pero reportaron es toda la producción.
- Sobre consumo por parte de PMD.
</t>
        </r>
      </text>
    </comment>
    <comment ref="CC30" authorId="0">
      <text>
        <r>
          <rPr>
            <b/>
            <sz val="9"/>
            <color indexed="81"/>
            <rFont val="Tahoma"/>
            <family val="2"/>
          </rPr>
          <t>Daniel Eugenio Aguirre:
Dentro de Target
Alta producción de PMD
101 Tn de Tabaco</t>
        </r>
      </text>
    </comment>
    <comment ref="CD30" authorId="0">
      <text>
        <r>
          <rPr>
            <b/>
            <sz val="11"/>
            <color indexed="81"/>
            <rFont val="Tahoma"/>
            <family val="2"/>
          </rPr>
          <t>Daniel Eugenio Aguirre:
-Baja producción por parte de PMD, sin embargo consumieron 45 Tn de Vapor. 
- Se comunico con PMD para verificar si hubo producción no reportada, acumulada para el día siguiente, pero reportaron es toda la producción.
- Sobre consumo por parte de PMD.</t>
        </r>
      </text>
    </comment>
    <comment ref="CC32" authorId="0">
      <text>
        <r>
          <rPr>
            <b/>
            <sz val="9"/>
            <color indexed="81"/>
            <rFont val="Tahoma"/>
            <family val="2"/>
          </rPr>
          <t>Daniel Eugenio Aguirre:
Dentro de target. 
Generación de 86 tn de vapor.
Eficiencia de la caldera 101.8</t>
        </r>
      </text>
    </comment>
    <comment ref="CD32" authorId="0">
      <text>
        <r>
          <rPr>
            <b/>
            <sz val="11"/>
            <color indexed="81"/>
            <rFont val="Tahoma"/>
            <family val="2"/>
          </rPr>
          <t>Daniel Eugenio Aguirre:</t>
        </r>
        <r>
          <rPr>
            <sz val="11"/>
            <color indexed="81"/>
            <rFont val="Tahoma"/>
            <family val="2"/>
          </rPr>
          <t xml:space="preserve">
- Acumulado de ENERGY METRIX EN BOILER HOUSE EE.
- 0.1 Fuera de target debido a eso, (marca el doble de consumo del promedio).</t>
        </r>
      </text>
    </comment>
    <comment ref="CC33" authorId="0">
      <text>
        <r>
          <rPr>
            <b/>
            <sz val="9"/>
            <color indexed="81"/>
            <rFont val="Tahoma"/>
            <family val="2"/>
          </rPr>
          <t>Daniel Eugenio Aguirre:
HVAC, dentro de target, solo trabajo 1 chiller
- Fiiltros Sur</t>
        </r>
      </text>
    </comment>
    <comment ref="CE34" authorId="0">
      <text>
        <r>
          <rPr>
            <b/>
            <sz val="11"/>
            <color indexed="81"/>
            <rFont val="Tahoma"/>
            <family val="2"/>
          </rPr>
          <t>Daniel Eugenio Aguirre:</t>
        </r>
        <r>
          <rPr>
            <sz val="11"/>
            <color indexed="81"/>
            <rFont val="Tahoma"/>
            <family val="2"/>
          </rPr>
          <t xml:space="preserve">
- SD02 consumo de 8 AM a 6:30 PM de EE, Aire Comprimido (1,097 Nm3) y Vacío (1,385 Nm3), sin embargo no se reportó producción.
-SD06 consumo de servicio extraorinario (100 m3 de Vacio)</t>
        </r>
      </text>
    </comment>
    <comment ref="CD35" authorId="0">
      <text>
        <r>
          <rPr>
            <b/>
            <sz val="11"/>
            <color indexed="81"/>
            <rFont val="Tahoma"/>
            <family val="2"/>
          </rPr>
          <t>Daniel Eugenio Aguirre
- Solo dos servicios extraordinarios, para modulo 4 y modulo 7
(7pm a 7am).
- Se analizaron las gráficas de consumo y no se observa una tendencia mayor a los consumos de días con producción similiar. Tampoco días con cantidad de módulos encendidos similiar.
- Hay sobre consumo debido al acumulado de los días que no funcionó el PXC.</t>
        </r>
      </text>
    </comment>
    <comment ref="D38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MAC1 LECTURAS 3N 0</t>
        </r>
      </text>
    </comment>
    <comment ref="D40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MAC7 REVISION ESCALAMIENTO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 xml:space="preserve">Daniel Eugenio Aguirre:
Energy Metrix marca 0 y viene aun en (cf) (no se ha hecho la conversion a Nm3) </t>
        </r>
      </text>
    </comment>
    <comment ref="H43" authorId="0">
      <text>
        <r>
          <rPr>
            <b/>
            <sz val="9"/>
            <color indexed="81"/>
            <rFont val="Tahoma"/>
            <family val="2"/>
          </rPr>
          <t>Daniel Eugenio Aguirre:
Energy Metrix marca 0 en ambos, SMD NORTE y SMD SUR</t>
        </r>
      </text>
    </comment>
    <comment ref="Q43" authorId="0">
      <text>
        <r>
          <rPr>
            <b/>
            <sz val="9"/>
            <color indexed="81"/>
            <rFont val="Tahoma"/>
            <family val="2"/>
          </rPr>
          <t>Daniel Eugenio Aguirre:
Energy Metrix marca 0 en ambos, SMD NORTE y SMD SUR</t>
        </r>
      </text>
    </comment>
    <comment ref="Z43" authorId="0">
      <text>
        <r>
          <rPr>
            <b/>
            <sz val="9"/>
            <color indexed="81"/>
            <rFont val="Tahoma"/>
            <family val="2"/>
          </rPr>
          <t>Daniel Eugenio Aguirre:
Energy Metrix marca 0 en ambos, SMD NORTE y SMD SUR</t>
        </r>
      </text>
    </comment>
    <comment ref="AI43" authorId="0">
      <text>
        <r>
          <rPr>
            <b/>
            <sz val="9"/>
            <color indexed="81"/>
            <rFont val="Tahoma"/>
            <family val="2"/>
          </rPr>
          <t>Daniel Eugenio Aguirre:
Energy Metrix marca 0 en ambos, SMD NORTE y SMD SUR</t>
        </r>
      </text>
    </comment>
    <comment ref="AR43" authorId="0">
      <text>
        <r>
          <rPr>
            <b/>
            <sz val="9"/>
            <color indexed="81"/>
            <rFont val="Tahoma"/>
            <family val="2"/>
          </rPr>
          <t>Daniel Eugenio Aguirre:
Energy Metrix marca 0 en ambos, SMD NORTE y SMD SUR</t>
        </r>
      </text>
    </comment>
    <comment ref="D50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FALLO EN CONVERTIDOR PARA COMUNICACIÓN, LA PIIEZA YA LLEGO</t>
        </r>
      </text>
    </comment>
    <comment ref="D52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FALLO EN CONVERTIDOR PARA COMUNICACIÓN, LA PIIEZA YA LLEGO</t>
        </r>
      </text>
    </comment>
    <comment ref="AI52" authorId="0">
      <text>
        <r>
          <rPr>
            <b/>
            <sz val="10"/>
            <color indexed="81"/>
            <rFont val="Tahoma"/>
            <family val="2"/>
          </rPr>
          <t>Daniel Eugenio Aguirre: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ft3</t>
        </r>
      </text>
    </comment>
    <comment ref="AR52" authorId="0">
      <text>
        <r>
          <rPr>
            <b/>
            <sz val="10"/>
            <color indexed="81"/>
            <rFont val="Tahoma"/>
            <family val="2"/>
          </rPr>
          <t>Daniel Eugenio Aguirre: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ft3</t>
        </r>
      </text>
    </comment>
    <comment ref="D53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FALLO EN CONVERTIDOR PARA COMUNICACIÓN, LA PIIEZA YA LLEGO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 xml:space="preserve">Daniel Eugenio Aguirre:
Revisar Medidor
</t>
        </r>
      </text>
    </comment>
    <comment ref="K56" authorId="0">
      <text>
        <r>
          <rPr>
            <b/>
            <sz val="9"/>
            <color indexed="81"/>
            <rFont val="Tahoma"/>
            <family val="2"/>
          </rPr>
          <t>Daniel Eugenio Aguirre:
SE PRECALENTÓ CALDERAS 3 Y 6</t>
        </r>
      </text>
    </comment>
    <comment ref="L56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precalentamiento calderas 3 y 6 / Enfriamiento soplador caldera 4 /revisando ME57</t>
        </r>
      </text>
    </comment>
    <comment ref="M56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precalentamiento calderas 3 y 6 / Enfriamiento soplador caldera 4 /revisando ME57</t>
        </r>
      </text>
    </comment>
    <comment ref="N56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precalentamiento calderas 3, 4, 5 y6 /revision ME57</t>
        </r>
      </text>
    </comment>
    <comment ref="R56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Revisar </t>
        </r>
      </text>
    </comment>
    <comment ref="AT57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Mayor consumo de vapor por mayor demanda de HVAC, caldera 4 trabajó 20 horas. </t>
        </r>
      </text>
    </comment>
    <comment ref="AU57" authorId="0">
      <text>
        <r>
          <rPr>
            <b/>
            <sz val="9"/>
            <color indexed="81"/>
            <rFont val="Tahoma"/>
            <family val="2"/>
          </rPr>
          <t>Daniel Eugenio Aguirre:
MAYOR DEMANDA DE HVAC CALDERA 4 TRABAJÓ 20 HORAS</t>
        </r>
      </text>
    </comment>
    <comment ref="K58" authorId="0">
      <text>
        <r>
          <rPr>
            <b/>
            <sz val="9"/>
            <color indexed="81"/>
            <rFont val="Tahoma"/>
            <family val="2"/>
          </rPr>
          <t xml:space="preserve">Daniel Eugenio Aguirre:
SE REGENERARON 2 SUAVIZADORES Y PURGAS A CALDERAS PARA CONTROL DE PARAMETROS. 
</t>
        </r>
      </text>
    </comment>
    <comment ref="D63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MA18 VALORES NEGATIVOS Y MA19 VALORES EN 0
</t>
        </r>
      </text>
    </comment>
    <comment ref="AC63" authorId="0">
      <text>
        <r>
          <rPr>
            <b/>
            <sz val="9"/>
            <color indexed="81"/>
            <rFont val="Tahoma"/>
            <family val="2"/>
          </rPr>
          <t>Daniel Eugenio Aguirre:</t>
        </r>
        <r>
          <rPr>
            <sz val="9"/>
            <color indexed="81"/>
            <rFont val="Tahoma"/>
            <family val="2"/>
          </rPr>
          <t xml:space="preserve">
Marco Negativo
</t>
        </r>
      </text>
    </comment>
    <comment ref="H70" authorId="0">
      <text>
        <r>
          <rPr>
            <b/>
            <sz val="9"/>
            <color indexed="81"/>
            <rFont val="Tahoma"/>
            <family val="2"/>
          </rPr>
          <t xml:space="preserve">Daniel Eugenio Aguirre:
Revisar Medidores tanto SMD Norte como SMD Sur
</t>
        </r>
      </text>
    </comment>
    <comment ref="H73" authorId="0">
      <text>
        <r>
          <rPr>
            <b/>
            <sz val="9"/>
            <color indexed="81"/>
            <rFont val="Tahoma"/>
            <family val="2"/>
          </rPr>
          <t xml:space="preserve">Daniel Eugenio Aguirre:
Revisar Medidores SMD Norte y SMD Sur
</t>
        </r>
      </text>
    </comment>
    <comment ref="D75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ME211 REVISAR ESCALAMIENTO</t>
        </r>
      </text>
    </comment>
    <comment ref="D76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ME53 - NEGATIVO</t>
        </r>
      </text>
    </comment>
    <comment ref="H76" authorId="0">
      <text>
        <r>
          <rPr>
            <b/>
            <sz val="9"/>
            <color indexed="81"/>
            <rFont val="Tahoma"/>
            <family val="2"/>
          </rPr>
          <t xml:space="preserve">Daniel Eugenio Aguirre:
Registra 0 Energy Metrix.
</t>
        </r>
      </text>
    </comment>
    <comment ref="D81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REVISAR ESCALAMIENTO</t>
        </r>
      </text>
    </comment>
    <comment ref="H81" authorId="0">
      <text>
        <r>
          <rPr>
            <b/>
            <sz val="9"/>
            <color indexed="81"/>
            <rFont val="Tahoma"/>
            <family val="2"/>
          </rPr>
          <t xml:space="preserve">Daniel Eugenio Aguirre:
Revisar Medidor de Electricidad Comedor, Marca 0 Energy Metrix.
</t>
        </r>
      </text>
    </comment>
    <comment ref="D83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VALORES EN NEGATIVO</t>
        </r>
      </text>
    </comment>
    <comment ref="H86" authorId="0">
      <text>
        <r>
          <rPr>
            <b/>
            <sz val="9"/>
            <color indexed="81"/>
            <rFont val="Tahoma"/>
            <family val="2"/>
          </rPr>
          <t xml:space="preserve">Daniel Eugenio Aguirre:
Registra 0 Energy Metrix.
</t>
        </r>
      </text>
    </comment>
    <comment ref="D90" authorId="1">
      <text>
        <r>
          <rPr>
            <b/>
            <sz val="9"/>
            <color indexed="81"/>
            <rFont val="Tahoma"/>
            <family val="2"/>
          </rPr>
          <t>Damaris Anrubio Radilla:</t>
        </r>
        <r>
          <rPr>
            <sz val="9"/>
            <color indexed="81"/>
            <rFont val="Tahoma"/>
            <family val="2"/>
          </rPr>
          <t xml:space="preserve">
ME22 LECTURAS EN 0</t>
        </r>
      </text>
    </comment>
  </commentList>
</comments>
</file>

<file path=xl/sharedStrings.xml><?xml version="1.0" encoding="utf-8"?>
<sst xmlns="http://schemas.openxmlformats.org/spreadsheetml/2006/main" count="817" uniqueCount="364">
  <si>
    <t>ENERCON DASHBOARD 2020</t>
  </si>
  <si>
    <t>W2</t>
  </si>
  <si>
    <t>W3</t>
  </si>
  <si>
    <t>W4</t>
  </si>
  <si>
    <t>W5</t>
  </si>
  <si>
    <t>W6</t>
  </si>
  <si>
    <t>W7</t>
  </si>
  <si>
    <t>W8</t>
  </si>
  <si>
    <t>W9</t>
  </si>
  <si>
    <t>MON</t>
  </si>
  <si>
    <t>TUE</t>
  </si>
  <si>
    <t>WED</t>
  </si>
  <si>
    <t>THU</t>
  </si>
  <si>
    <t>FRI</t>
  </si>
  <si>
    <t>SAT</t>
  </si>
  <si>
    <t>SUN</t>
  </si>
  <si>
    <t>WTD</t>
  </si>
  <si>
    <t>Producción</t>
  </si>
  <si>
    <t>PMD</t>
  </si>
  <si>
    <t>TN de Tabaco</t>
  </si>
  <si>
    <t>DIET</t>
  </si>
  <si>
    <t>SMD NORTE</t>
  </si>
  <si>
    <t>MCE</t>
  </si>
  <si>
    <t>SMD SUR</t>
  </si>
  <si>
    <t>Acometida</t>
  </si>
  <si>
    <t>Electricidad</t>
  </si>
  <si>
    <t>Kwh</t>
  </si>
  <si>
    <t>Gas Natural</t>
  </si>
  <si>
    <t>M3 de Gas</t>
  </si>
  <si>
    <t>Agua</t>
  </si>
  <si>
    <t>M3 de Agua</t>
  </si>
  <si>
    <t>Vapor</t>
  </si>
  <si>
    <t>Tn de vapor</t>
  </si>
  <si>
    <t>BENCHMARK</t>
  </si>
  <si>
    <t>ENERGY UTILISATION</t>
  </si>
  <si>
    <t>SMD</t>
  </si>
  <si>
    <t>SMD - Electricity Use (kWH / MCE)</t>
  </si>
  <si>
    <t>OK</t>
  </si>
  <si>
    <t>SMD - Vacuum Usage (Nm3 / MCE)</t>
  </si>
  <si>
    <t>SMD - Compressed Air Usage (Nm3 / MCE)</t>
  </si>
  <si>
    <t>FMD</t>
  </si>
  <si>
    <t>FMD - Electricity Use (kWH / MCE)</t>
  </si>
  <si>
    <t>FMD - Compressed Air Usage (Nm3 / MCE)</t>
  </si>
  <si>
    <t>PMD - Steam Usage (Tonne / Tonne)</t>
  </si>
  <si>
    <t>PMD - Electricity Use (kWH / MCE)</t>
  </si>
  <si>
    <t>PMD - Gas Use (GJ / Tonne)</t>
  </si>
  <si>
    <t>PMD - Compressed Air Use (Nm3 / MCE)</t>
  </si>
  <si>
    <t>Utilities</t>
  </si>
  <si>
    <t>Boiler House - Energy Usage (GJ / Tonne)</t>
  </si>
  <si>
    <t>HVAC - Energy Usage (kWH / MCE)</t>
  </si>
  <si>
    <t>Vacuum - Energy Usage (kWH / MCE)</t>
  </si>
  <si>
    <t>Feeding &amp; desusting - energy Usage (kWH / MCE)</t>
  </si>
  <si>
    <t xml:space="preserve">Aire Comprimido </t>
  </si>
  <si>
    <t>Nm3/MCE</t>
  </si>
  <si>
    <r>
      <rPr>
        <i/>
        <sz val="12"/>
        <color rgb="FFFF0000"/>
        <rFont val="Calibri"/>
        <family val="2"/>
        <scheme val="minor"/>
      </rPr>
      <t xml:space="preserve">MAC1 </t>
    </r>
    <r>
      <rPr>
        <i/>
        <sz val="12"/>
        <rFont val="Calibri"/>
        <family val="2"/>
        <scheme val="minor"/>
      </rPr>
      <t>+ MAC2 + MAC3</t>
    </r>
  </si>
  <si>
    <t>MAC11 + MAC5</t>
  </si>
  <si>
    <r>
      <t xml:space="preserve">MAC10 + MAC9 + </t>
    </r>
    <r>
      <rPr>
        <i/>
        <sz val="12"/>
        <color rgb="FFFF0000"/>
        <rFont val="Calibri"/>
        <family val="2"/>
        <scheme val="minor"/>
      </rPr>
      <t>MAC7</t>
    </r>
  </si>
  <si>
    <t>Vacio</t>
  </si>
  <si>
    <t>MAV3 + MAV4</t>
  </si>
  <si>
    <t>MAV2</t>
  </si>
  <si>
    <t>Kwh/MCE</t>
  </si>
  <si>
    <t>-</t>
  </si>
  <si>
    <t>FMD Norte</t>
  </si>
  <si>
    <t>FMD Sur</t>
  </si>
  <si>
    <t xml:space="preserve">PMD Energía </t>
  </si>
  <si>
    <t>Kwh/Tn Tabaco</t>
  </si>
  <si>
    <t>ME46 + ME23 + (ME50 = ME47 + ME48 + ME49)</t>
  </si>
  <si>
    <t>PMD Agua</t>
  </si>
  <si>
    <t>M3/Tn Tabaco</t>
  </si>
  <si>
    <t>MA17</t>
  </si>
  <si>
    <t>PMD Vapor</t>
  </si>
  <si>
    <t>Tn vapor/TN Tabaco</t>
  </si>
  <si>
    <t>MV7 = M1 - MV3 - MV4</t>
  </si>
  <si>
    <t>DIET Energía</t>
  </si>
  <si>
    <t>ME17 + ME19</t>
  </si>
  <si>
    <t>DIET Agua</t>
  </si>
  <si>
    <t>MA12 + MA13</t>
  </si>
  <si>
    <t>DIET Vapor</t>
  </si>
  <si>
    <t>Tn vapor</t>
  </si>
  <si>
    <t>DIET Gas Natural</t>
  </si>
  <si>
    <t>M3 de Gas/Tn Tabaco</t>
  </si>
  <si>
    <t>MG4</t>
  </si>
  <si>
    <t>Calderas</t>
  </si>
  <si>
    <t>Energía Eléctrica</t>
  </si>
  <si>
    <t>ME57 + ME206</t>
  </si>
  <si>
    <t>MG7 = MG8 - MG4</t>
  </si>
  <si>
    <t>MA8</t>
  </si>
  <si>
    <t>Toneladas de Vapor</t>
  </si>
  <si>
    <t>Tn Vapor</t>
  </si>
  <si>
    <t>MV8</t>
  </si>
  <si>
    <t>Eficiencia calderas</t>
  </si>
  <si>
    <t>M3/TN Vapor</t>
  </si>
  <si>
    <t>M3</t>
  </si>
  <si>
    <t>HVAC</t>
  </si>
  <si>
    <r>
      <t>MA23= MA1-MA17-MA8-MA9-</t>
    </r>
    <r>
      <rPr>
        <i/>
        <sz val="12"/>
        <color rgb="FFFF0000"/>
        <rFont val="Calibri"/>
        <family val="2"/>
        <scheme val="minor"/>
      </rPr>
      <t>MA18-MA19</t>
    </r>
  </si>
  <si>
    <t>Tn de Vapor</t>
  </si>
  <si>
    <t>Vapor Total</t>
  </si>
  <si>
    <t>Vapor SMD Norte</t>
  </si>
  <si>
    <t>Vapor SMD Sur</t>
  </si>
  <si>
    <t>ME64</t>
  </si>
  <si>
    <t>Aire Comprimido SMD Norte</t>
  </si>
  <si>
    <t>ME58</t>
  </si>
  <si>
    <t>Aire Comprimido SMD Sur</t>
  </si>
  <si>
    <t>ME70 + ME71</t>
  </si>
  <si>
    <t>Vacio SMD Norte</t>
  </si>
  <si>
    <t>ME62 + ME63</t>
  </si>
  <si>
    <t>Vacio SMD Sur</t>
  </si>
  <si>
    <t>ME72 +  ME73</t>
  </si>
  <si>
    <t>CP &amp; AN</t>
  </si>
  <si>
    <r>
      <rPr>
        <i/>
        <sz val="12"/>
        <color rgb="FFFF0000"/>
        <rFont val="Calibri"/>
        <family val="2"/>
        <scheme val="minor"/>
      </rPr>
      <t>ME211</t>
    </r>
    <r>
      <rPr>
        <i/>
        <sz val="12"/>
        <color theme="1"/>
        <rFont val="Calibri"/>
        <family val="2"/>
        <scheme val="minor"/>
      </rPr>
      <t xml:space="preserve"> + ME200 + ME203 + ME204 + ME10</t>
    </r>
  </si>
  <si>
    <t>,</t>
  </si>
  <si>
    <t>Almacenes</t>
  </si>
  <si>
    <r>
      <rPr>
        <i/>
        <sz val="12"/>
        <color rgb="FFFF0000"/>
        <rFont val="Calibri"/>
        <family val="2"/>
        <scheme val="minor"/>
      </rPr>
      <t>ME53</t>
    </r>
    <r>
      <rPr>
        <i/>
        <sz val="12"/>
        <color theme="1"/>
        <rFont val="Calibri"/>
        <family val="2"/>
        <scheme val="minor"/>
      </rPr>
      <t xml:space="preserve"> + ME69 + ME74</t>
    </r>
  </si>
  <si>
    <t>Frick Agua</t>
  </si>
  <si>
    <t>Cierre de servicios</t>
  </si>
  <si>
    <t>Cierre</t>
  </si>
  <si>
    <t>Comedor</t>
  </si>
  <si>
    <t>ME209</t>
  </si>
  <si>
    <t>MG9</t>
  </si>
  <si>
    <t>M3 Agua</t>
  </si>
  <si>
    <t>MA18</t>
  </si>
  <si>
    <t>Laboratorio</t>
  </si>
  <si>
    <t>ME65 + ME66</t>
  </si>
  <si>
    <t>MV9</t>
  </si>
  <si>
    <t>Oficinas</t>
  </si>
  <si>
    <r>
      <rPr>
        <i/>
        <sz val="12"/>
        <color rgb="FFFF0000"/>
        <rFont val="Calibri"/>
        <family val="2"/>
        <scheme val="minor"/>
      </rPr>
      <t>ME22</t>
    </r>
    <r>
      <rPr>
        <i/>
        <sz val="12"/>
        <color theme="1"/>
        <rFont val="Calibri"/>
        <family val="2"/>
        <scheme val="minor"/>
      </rPr>
      <t xml:space="preserve"> + ME24 + ME26 + ME27 + ME29 + ME32</t>
    </r>
  </si>
  <si>
    <t>MA9</t>
  </si>
  <si>
    <t>BASE DE DATOS</t>
  </si>
  <si>
    <t>PRODUCCION NORTE</t>
  </si>
  <si>
    <t>ELECTRICIDAD</t>
  </si>
  <si>
    <t>FABRICA</t>
  </si>
  <si>
    <t>UTILITIES</t>
  </si>
  <si>
    <t>AIRE COMPRIMIDO</t>
  </si>
  <si>
    <t>Nm3</t>
  </si>
  <si>
    <t>SMD NORTE AIRE COMPRIMIDO</t>
  </si>
  <si>
    <t>VACIO</t>
  </si>
  <si>
    <t>NM3</t>
  </si>
  <si>
    <t>SMD NORTE VACIO</t>
  </si>
  <si>
    <t>NM3/MCE</t>
  </si>
  <si>
    <t># MODULOS OPERARON</t>
  </si>
  <si>
    <t>#</t>
  </si>
  <si>
    <t>SMD NORTE EE/MC</t>
  </si>
  <si>
    <t>SMD NORTE - FABRICA EE/MC</t>
  </si>
  <si>
    <t>SMD NORTE - UTILITIES EE/ MC</t>
  </si>
  <si>
    <t>SMD NORTE MWH</t>
  </si>
  <si>
    <t>Mwh</t>
  </si>
  <si>
    <t>SMD NORTE - FABRICA MWH</t>
  </si>
  <si>
    <t>SMD NORTE - UTILITIES MWH</t>
  </si>
  <si>
    <t>GJ TOTAL SMD NORTE</t>
  </si>
  <si>
    <t>GJ</t>
  </si>
  <si>
    <t>INTENSITY SMD NORTE</t>
  </si>
  <si>
    <t>GJ/MCE</t>
  </si>
  <si>
    <t>PRODUCCION SUR</t>
  </si>
  <si>
    <t>SMD SUR AIRE COMPRIMIDO</t>
  </si>
  <si>
    <t>SMD SUR VACIO</t>
  </si>
  <si>
    <t>SMD SUR EE/MC</t>
  </si>
  <si>
    <t>SMD SUR - FABRICA EE/MC</t>
  </si>
  <si>
    <t>SMD SUR - UTILITIES EE/ MC</t>
  </si>
  <si>
    <t>SMD SUR MWH</t>
  </si>
  <si>
    <t>SMD SUR - FABRICA MWH</t>
  </si>
  <si>
    <t>SMD SUR - UTILITIES MWH</t>
  </si>
  <si>
    <t>GJ TOTAL SMD SUR</t>
  </si>
  <si>
    <t>INTENSITY SMD SUR</t>
  </si>
  <si>
    <t>PRODUCCION PMD</t>
  </si>
  <si>
    <t>TN TABACO</t>
  </si>
  <si>
    <t>PRODUCCION DIET</t>
  </si>
  <si>
    <t>KWH</t>
  </si>
  <si>
    <t>PMD VAPOR</t>
  </si>
  <si>
    <t>PMD AGUA</t>
  </si>
  <si>
    <t>PMD AIRE COMPRIMIDO</t>
  </si>
  <si>
    <t>M3 Gas</t>
  </si>
  <si>
    <t>DIET EE</t>
  </si>
  <si>
    <t>M3 Agua/Tn Tabaco</t>
  </si>
  <si>
    <t>PMD MWH</t>
  </si>
  <si>
    <t>PMD TN VAPOR / TN TABACO</t>
  </si>
  <si>
    <t>Tn Vapor / Tn Tabaco</t>
  </si>
  <si>
    <t>PMD M3 AGUA / TN TABACO</t>
  </si>
  <si>
    <t>M3 Agua / Tn Tabaco</t>
  </si>
  <si>
    <t>PMD KWH / TN TABACO</t>
  </si>
  <si>
    <t>GJ PMD</t>
  </si>
  <si>
    <t>INTENSITY PMD</t>
  </si>
  <si>
    <t>FMD Norte Consumo</t>
  </si>
  <si>
    <t>FMD Sur Consumo</t>
  </si>
  <si>
    <t>FMD Norte Producción</t>
  </si>
  <si>
    <t>FMD Sur Producción</t>
  </si>
  <si>
    <t>Acometida Gas Natural</t>
  </si>
  <si>
    <t>Acometida Agua Calderas</t>
  </si>
  <si>
    <t>PMD WEEKLY KWH/MCE</t>
  </si>
  <si>
    <t>PMD WEEKLY TN VAPOR/TN TABACO</t>
  </si>
  <si>
    <t>INTENSITY</t>
  </si>
  <si>
    <t>Aire Comprimido PMD</t>
  </si>
  <si>
    <t xml:space="preserve">Chillers </t>
  </si>
  <si>
    <t>TN de Vapor</t>
  </si>
  <si>
    <t>KWH/TN TABACO</t>
  </si>
  <si>
    <t xml:space="preserve">PMD KWH </t>
  </si>
  <si>
    <t>Frick y Freezer 2020</t>
  </si>
  <si>
    <t>Mes</t>
  </si>
  <si>
    <t>Freezer</t>
  </si>
  <si>
    <t>Frick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</si>
  <si>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</si>
  <si>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</si>
  <si>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</si>
  <si>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</si>
  <si>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</si>
  <si>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</si>
  <si>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</si>
  <si>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</si>
  <si>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</si>
  <si>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</si>
  <si>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</si>
  <si>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</si>
  <si>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</si>
  <si>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Anual</t>
  </si>
  <si>
    <t>Date</t>
  </si>
  <si>
    <t>PMD - Compressed Air Use [Nm3]</t>
  </si>
  <si>
    <t>Boiler House - Energy Usage [GJ]</t>
  </si>
  <si>
    <t>HVAC - Energy Usage [kWH]</t>
  </si>
  <si>
    <t>SMD - Electricity Use [kWH]</t>
  </si>
  <si>
    <t>SMD - Vacuum Usage [Nm3]</t>
  </si>
  <si>
    <t>SMD - Compressed Air Usage [Nm3]</t>
  </si>
  <si>
    <t>FMD - Electricity Use [kWH]</t>
  </si>
  <si>
    <t>FMD - Compressed Air Usage [Nm3]</t>
  </si>
  <si>
    <t>PMD - Steam Usage [Tonne]</t>
  </si>
  <si>
    <t>PMD - Electricity Use [kWH]</t>
  </si>
  <si>
    <t>PMD - Gas Use [GJ]</t>
  </si>
  <si>
    <t>Vacuum - Energy Usage [kWH]</t>
  </si>
  <si>
    <t>Feeding &amp; desusting - energy Usage [kWH]</t>
  </si>
  <si>
    <t>W10</t>
  </si>
  <si>
    <t>74(T°BAJA)/182(T°ALTA)</t>
  </si>
  <si>
    <t>JANUARY</t>
  </si>
  <si>
    <t>FEBRUARY</t>
  </si>
  <si>
    <t>%</t>
  </si>
  <si>
    <t>N/A</t>
  </si>
  <si>
    <t>W11</t>
  </si>
  <si>
    <t>0 .02</t>
  </si>
  <si>
    <t>Boiler House EF.</t>
  </si>
  <si>
    <t>VOLUMEN</t>
  </si>
  <si>
    <t>INTENSITY AGUA</t>
  </si>
  <si>
    <t>INTENSITY ENERGIA</t>
  </si>
  <si>
    <t>AGUA</t>
  </si>
  <si>
    <t>ENERGÍA</t>
  </si>
  <si>
    <t>SMD North Vacuum Usage [NM3/MCE]</t>
  </si>
  <si>
    <t>SMD North Electricity Use [KWH/MCE]</t>
  </si>
  <si>
    <t>SMD North Compressed Air Usage [NM3/MCE]</t>
  </si>
  <si>
    <t>SMD Exports Electricity Use [Kwh/MCE]</t>
  </si>
  <si>
    <t>SMD Exports Vacuum Usage [NM3/MCE]</t>
  </si>
  <si>
    <t>PMD - Water Usage [M3/Tonne]</t>
  </si>
  <si>
    <t>PMD - Gas Use [GJ/Tonne]</t>
  </si>
  <si>
    <t>PMD - Steam Usage [Tonne / Tonne]</t>
  </si>
  <si>
    <t>INTENSITY L2</t>
  </si>
  <si>
    <t xml:space="preserve">PMD </t>
  </si>
  <si>
    <t>SMD Exports Compressed Air [Nm3/MCE]</t>
  </si>
  <si>
    <t>Boiler House - Energy Usage GJ / Tonne</t>
  </si>
  <si>
    <t>Boiler House</t>
  </si>
  <si>
    <t>HVAC - Steam Use [Tonne]</t>
  </si>
  <si>
    <t>HVAC Water Use [M3]</t>
  </si>
  <si>
    <t>GAS M3</t>
  </si>
  <si>
    <t>AGUA M3</t>
  </si>
  <si>
    <t>VAPOR Tn Vapor</t>
  </si>
  <si>
    <t>FMD - Electricity Use kWH / MCE</t>
  </si>
  <si>
    <t>Toneladas de Vapor [Tn]</t>
  </si>
  <si>
    <t>Eficiencia calderas [m3/Tn]</t>
  </si>
  <si>
    <t>Agua [m3]</t>
  </si>
  <si>
    <t>Gas Natural [m3]</t>
  </si>
  <si>
    <t>Energía Eléctrica [kWh]</t>
  </si>
  <si>
    <t>Aire Comprimido SMD Norte [Kwh]</t>
  </si>
  <si>
    <t>Aire Comprimido SMD Sur [Kwh]</t>
  </si>
  <si>
    <t>Aire Comprimido PMD [Kwh]</t>
  </si>
  <si>
    <t>Vacio SMD Norte [Kwh]</t>
  </si>
  <si>
    <t>CP &amp; AN [Kwh]</t>
  </si>
  <si>
    <t>Vacio SMD Sur [Kwh]</t>
  </si>
  <si>
    <t>DIET - Water Usage [M3]</t>
  </si>
  <si>
    <t>DIET - Steam Usage [M3]</t>
  </si>
  <si>
    <t>DIET - Gas Usage [M3]</t>
  </si>
  <si>
    <t>BENCHMARK/INTENSITY</t>
  </si>
  <si>
    <t>PRODUCTO TERMINADO</t>
  </si>
  <si>
    <t>BOILER H.</t>
  </si>
  <si>
    <t>PMD - Water Use</t>
  </si>
  <si>
    <t>PMD Water Use</t>
  </si>
  <si>
    <t xml:space="preserve">SMD North </t>
  </si>
  <si>
    <t>SMD Exports</t>
  </si>
  <si>
    <t xml:space="preserve">FMD </t>
  </si>
  <si>
    <t>Natural GAS</t>
  </si>
  <si>
    <t>Water</t>
  </si>
  <si>
    <t>INTENSITY EE</t>
  </si>
  <si>
    <t>FMD South - Compressed Air Usage Nm3 / MCE</t>
  </si>
  <si>
    <t>FMD North - Compressed Air Usage Nm3</t>
  </si>
  <si>
    <t>PTE</t>
  </si>
  <si>
    <t>HVAC - Gas Use [M3]</t>
  </si>
  <si>
    <t>http://10.112.98.57/FTEnergyMetrix/Reports.aspx?ReportId=712</t>
  </si>
  <si>
    <t>http://10.112.98.57/FTEnergyMetrix/Reports.aspx?ReportId=713</t>
  </si>
  <si>
    <t>http://10.112.98.57/FTEnergyMetrix/Reports.aspx?ReportId=715</t>
  </si>
  <si>
    <t>http://10.112.98.57/FTEnergyMetrix/Reports.aspx?ReportId=716</t>
  </si>
  <si>
    <t>http://10.112.98.57/FTEnergyMetrix/Reports.aspx?ReportId=717</t>
  </si>
  <si>
    <t>http://10.112.98.57/FTEnergyMetrix/Reports.aspx?ReportId=719</t>
  </si>
  <si>
    <t>http://10.112.98.57/FTEnergyMetrix/Reports.aspx?ReportId=728</t>
  </si>
  <si>
    <t>http://10.112.98.57/FTEnergyMetrix/Reports.aspx?ReportId=730</t>
  </si>
  <si>
    <t>http://10.112.98.57/FTEnergyMetrix/Reports.aspx?ReportId=718</t>
  </si>
  <si>
    <t>http://10.112.98.57/FTEnergyMetrix/Reports.aspx?ReportId=822</t>
  </si>
  <si>
    <t>http://10.112.98.57/FTEnergyMetrix/Reports.aspx?ReportId=610</t>
  </si>
  <si>
    <t>http://10.112.98.57/FTEnergyMetrix/Reports.aspx?ReportId=621</t>
  </si>
  <si>
    <t>N:\Operaciones_MX.01.OP\Servicios Grales.de Mantto_15.2\Mantto. y Maq-Guías_02\Vigentes\CASA DE FUERZA\REPORTE DIARIO</t>
  </si>
  <si>
    <t>http://10.112.98.57/FTEnergyMetrix/Reports.aspx?ReportId=637</t>
  </si>
  <si>
    <t>http://10.112.98.57/FTEnergyMetrix/Reports.aspx?ReportId=633</t>
  </si>
  <si>
    <t>http://10.112.98.57/FTEnergyMetrix/Reports.aspx?ReportId=926</t>
  </si>
  <si>
    <t>http://10.112.98.57/FTEnergyMetrix/Reports.aspx?ReportId=927</t>
  </si>
  <si>
    <t>http://10.112.98.57/FTEnergyMetrix/Reports.aspx?ReportId=629</t>
  </si>
  <si>
    <t>N:\Operaciones_MX.01.OP\SMD Producción_08\00.Cédula Gral\Reportes_49\2020\1. Daily</t>
  </si>
  <si>
    <t>correo por parte de Juan Saldivar</t>
  </si>
  <si>
    <t>http://10.112.98.57/FTEnergyMetrix/Reports.aspx?ReportId=740</t>
  </si>
  <si>
    <t>FORMULA EXCEL</t>
  </si>
  <si>
    <t>http://10.112.98.57/FTEnergyMetrix/Reports.aspx?ReportId=731</t>
  </si>
  <si>
    <t>REPORTE DE CASA DE FUERZA</t>
  </si>
  <si>
    <t>http://10.112.98.57/FTEnergyMetrix/Reports.aspx?ReportId=725</t>
  </si>
  <si>
    <t>http://10.112.98.57/FTEnergyMetrix/Reports.aspx?ReportId=726</t>
  </si>
  <si>
    <t>http://10.112.98.57/FTEnergyMetrix/Reports.aspx?ReportId=955</t>
  </si>
  <si>
    <t>MEDIDOR ACOMETIDA</t>
  </si>
  <si>
    <t>http://10.112.98.57/FTEnergyMetrix/Reports.aspx?ReportId=832</t>
  </si>
  <si>
    <t>http://10.112.98.57/FTEnergyMetrix/Reports.aspx?ReportId=806</t>
  </si>
  <si>
    <t>http://10.112.98.57/FTEnergyMetrix/Reports.aspx?ReportId=807</t>
  </si>
  <si>
    <t>http://10.112.98.57/FTEnergyMetrix/Reports.aspx?ReportId=814</t>
  </si>
  <si>
    <t>http://10.112.98.57/FTEnergyMetrix/Reports.aspx?ReportId=815</t>
  </si>
  <si>
    <t>http://10.112.98.57/FTEnergyMetrix/Reports.aspx?ReportId=811</t>
  </si>
  <si>
    <t>http://10.112.98.57/FTEnergyMetrix/Reports.aspx?ReportId=823</t>
  </si>
  <si>
    <t>http://10.112.98.57/FTEnergyMetrix/Reports.aspx?ReportId=229</t>
  </si>
  <si>
    <t>W12</t>
  </si>
  <si>
    <t>PMD - Electricity Use [kWH / Tonne]</t>
  </si>
  <si>
    <t>PMD - Compressed Air Use [Nm3 / Tonne]</t>
  </si>
  <si>
    <t>http://10.112.98.57/FTEnergyMetrix/Reports.aspx?ReportId=714</t>
  </si>
  <si>
    <t>INTENSITY GAS NATURAL</t>
  </si>
  <si>
    <t xml:space="preserve">GAS NATURAL </t>
  </si>
  <si>
    <t>GENERAL</t>
  </si>
  <si>
    <t>INTENSITY GENERAL</t>
  </si>
  <si>
    <t>NT</t>
  </si>
  <si>
    <t>NP</t>
  </si>
  <si>
    <t>W13</t>
  </si>
  <si>
    <t>SMD - Electricity Use</t>
  </si>
  <si>
    <t>SMD - Vacuum Usage</t>
  </si>
  <si>
    <t>SMD - Compressed Air Usage</t>
  </si>
  <si>
    <t>FMD - Electricity Use</t>
  </si>
  <si>
    <t>FMD - Compressed Air Usage</t>
  </si>
  <si>
    <t>PMD - Steam Usage</t>
  </si>
  <si>
    <t>PMD - Electricity Use</t>
  </si>
  <si>
    <t>PMD - Gas Use</t>
  </si>
  <si>
    <t>PMD - Compressed Air Use</t>
  </si>
  <si>
    <t>Boiler House - Energy Usage</t>
  </si>
  <si>
    <t>HVAC - Energy Usage</t>
  </si>
  <si>
    <t>Vacuum - Energy Usage</t>
  </si>
  <si>
    <t>Feeding &amp; desusting - energy Usage</t>
  </si>
  <si>
    <t>W14</t>
  </si>
  <si>
    <t>MARCH</t>
  </si>
  <si>
    <t>Boiler House Steam Generation.</t>
  </si>
  <si>
    <t>TOTAL</t>
  </si>
  <si>
    <t>APRIL</t>
  </si>
  <si>
    <t>HVAC - Energy Usage [kWh]</t>
  </si>
  <si>
    <t xml:space="preserve">AN&amp;CP </t>
  </si>
  <si>
    <t>Acometida Exports</t>
  </si>
  <si>
    <t>Acometida Mexico</t>
  </si>
  <si>
    <t>ACOMETIDA EXPORTS</t>
  </si>
  <si>
    <t>ACOMETIDA DOMESTICO</t>
  </si>
  <si>
    <t xml:space="preserve"> </t>
  </si>
  <si>
    <t>W20</t>
  </si>
  <si>
    <t>W21</t>
  </si>
  <si>
    <t>W22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</si>
</sst>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_-;\-* #,##0.00_-;_-* &quot;-&quot;??_-;_-@_-"/>
    <numFmt numFmtId="165" formatCode="_-* #,##0.00\ &quot;€&quot;_-;\-* #,##0.00\ &quot;€&quot;_-;_-* &quot;-&quot;??\ &quot;€&quot;_-;_-@_-"/>
    <numFmt numFmtId="166" formatCode="_-* #,##0_-;\-* #,##0_-;_-* &quot;-&quot;??_-;_-@_-"/>
    <numFmt numFmtId="167" formatCode="_(* #,##0_);_(* \(#,##0\);_(* &quot;-&quot;??_);_(@_)"/>
    <numFmt numFmtId="168" formatCode="_-* #,##0.0_-;\-* #,##0.0_-;_-* &quot;-&quot;??_-;_-@_-"/>
    <numFmt numFmtId="169" formatCode="0.0"/>
    <numFmt numFmtId="170" formatCode="_(* #,##0.0_);_(* \(#,##0.0\);_(* &quot;-&quot;??_);_(@_)"/>
    <numFmt numFmtId="171" formatCode="[$-409]d\-mmm;@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b/>
      <sz val="18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i/>
      <sz val="12"/>
      <color rgb="FF00000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437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27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0005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3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gray06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B7C93"/>
        <bgColor indexed="64"/>
      </patternFill>
    </fill>
    <fill>
      <patternFill patternType="solid">
        <fgColor rgb="FF00A8D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CE23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0" fillId="0" borderId="0"/>
    <xf numFmtId="165" fontId="1" fillId="0" borderId="0" applyFont="0" applyFill="0" applyBorder="0" applyAlignment="0" applyProtection="0"/>
    <xf numFmtId="0" fontId="30" fillId="0" borderId="0"/>
    <xf numFmtId="0" fontId="51" fillId="0" borderId="0" applyNumberFormat="0" applyFill="0" applyBorder="0" applyAlignment="0" applyProtection="0"/>
  </cellStyleXfs>
  <cellXfs count="9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3" fillId="0" borderId="0" xfId="2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16" fontId="7" fillId="4" borderId="9" xfId="1" applyNumberFormat="1" applyFont="1" applyFill="1" applyBorder="1" applyAlignment="1">
      <alignment horizontal="center" vertical="center"/>
    </xf>
    <xf numFmtId="16" fontId="7" fillId="4" borderId="10" xfId="1" applyNumberFormat="1" applyFont="1" applyFill="1" applyBorder="1" applyAlignment="1">
      <alignment horizontal="center" vertical="center"/>
    </xf>
    <xf numFmtId="43" fontId="7" fillId="4" borderId="11" xfId="1" applyFont="1" applyFill="1" applyBorder="1" applyAlignment="1">
      <alignment horizontal="center" vertical="center"/>
    </xf>
    <xf numFmtId="43" fontId="7" fillId="5" borderId="17" xfId="1" applyFont="1" applyFill="1" applyBorder="1" applyAlignment="1">
      <alignment horizontal="center" vertical="center"/>
    </xf>
    <xf numFmtId="43" fontId="7" fillId="5" borderId="18" xfId="1" applyFont="1" applyFill="1" applyBorder="1" applyAlignment="1">
      <alignment horizontal="center" vertical="center"/>
    </xf>
    <xf numFmtId="43" fontId="7" fillId="5" borderId="19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right" vertical="center"/>
    </xf>
    <xf numFmtId="43" fontId="3" fillId="0" borderId="4" xfId="1" applyFont="1" applyBorder="1" applyAlignment="1">
      <alignment horizontal="right" vertical="center"/>
    </xf>
    <xf numFmtId="43" fontId="3" fillId="0" borderId="5" xfId="1" applyFont="1" applyBorder="1" applyAlignment="1">
      <alignment horizontal="right" vertical="center"/>
    </xf>
    <xf numFmtId="43" fontId="3" fillId="9" borderId="6" xfId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right" vertical="center"/>
    </xf>
    <xf numFmtId="43" fontId="3" fillId="0" borderId="9" xfId="1" applyFont="1" applyBorder="1" applyAlignment="1">
      <alignment horizontal="right" vertical="center"/>
    </xf>
    <xf numFmtId="43" fontId="3" fillId="0" borderId="10" xfId="1" applyFont="1" applyBorder="1" applyAlignment="1">
      <alignment horizontal="right" vertical="center"/>
    </xf>
    <xf numFmtId="43" fontId="3" fillId="9" borderId="11" xfId="1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right" vertical="center"/>
    </xf>
    <xf numFmtId="43" fontId="3" fillId="0" borderId="17" xfId="1" applyFont="1" applyBorder="1" applyAlignment="1">
      <alignment horizontal="right" vertical="center"/>
    </xf>
    <xf numFmtId="43" fontId="3" fillId="0" borderId="18" xfId="1" applyFont="1" applyBorder="1" applyAlignment="1">
      <alignment horizontal="right" vertical="center"/>
    </xf>
    <xf numFmtId="43" fontId="3" fillId="9" borderId="19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9" fontId="7" fillId="0" borderId="0" xfId="2" applyFont="1" applyAlignment="1">
      <alignment vertical="center"/>
    </xf>
    <xf numFmtId="43" fontId="3" fillId="0" borderId="0" xfId="1" applyFont="1" applyAlignment="1">
      <alignment horizontal="right" vertical="center"/>
    </xf>
    <xf numFmtId="43" fontId="3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43" fontId="7" fillId="11" borderId="3" xfId="1" applyFont="1" applyFill="1" applyBorder="1" applyAlignment="1">
      <alignment horizontal="center" vertical="center"/>
    </xf>
    <xf numFmtId="43" fontId="7" fillId="11" borderId="4" xfId="1" applyFont="1" applyFill="1" applyBorder="1" applyAlignment="1">
      <alignment horizontal="center" vertical="center"/>
    </xf>
    <xf numFmtId="43" fontId="7" fillId="11" borderId="5" xfId="1" applyFont="1" applyFill="1" applyBorder="1" applyAlignment="1">
      <alignment horizontal="center" vertical="center"/>
    </xf>
    <xf numFmtId="43" fontId="3" fillId="9" borderId="24" xfId="1" applyFont="1" applyFill="1" applyBorder="1" applyAlignment="1">
      <alignment horizontal="center" vertical="center"/>
    </xf>
    <xf numFmtId="43" fontId="7" fillId="11" borderId="9" xfId="1" applyFont="1" applyFill="1" applyBorder="1" applyAlignment="1">
      <alignment horizontal="center" vertical="center"/>
    </xf>
    <xf numFmtId="43" fontId="7" fillId="11" borderId="25" xfId="1" applyFont="1" applyFill="1" applyBorder="1" applyAlignment="1">
      <alignment horizontal="center" vertical="center"/>
    </xf>
    <xf numFmtId="43" fontId="7" fillId="11" borderId="26" xfId="1" applyFont="1" applyFill="1" applyBorder="1" applyAlignment="1">
      <alignment horizontal="center" vertical="center"/>
    </xf>
    <xf numFmtId="43" fontId="3" fillId="9" borderId="27" xfId="1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43" fontId="7" fillId="11" borderId="8" xfId="1" applyFont="1" applyFill="1" applyBorder="1" applyAlignment="1">
      <alignment horizontal="center" vertical="center"/>
    </xf>
    <xf numFmtId="43" fontId="7" fillId="11" borderId="10" xfId="1" applyFont="1" applyFill="1" applyBorder="1" applyAlignment="1">
      <alignment horizontal="center" vertical="center"/>
    </xf>
    <xf numFmtId="43" fontId="7" fillId="11" borderId="28" xfId="1" applyFont="1" applyFill="1" applyBorder="1" applyAlignment="1">
      <alignment horizontal="center" vertical="center"/>
    </xf>
    <xf numFmtId="43" fontId="7" fillId="11" borderId="29" xfId="1" applyFont="1" applyFill="1" applyBorder="1" applyAlignment="1">
      <alignment horizontal="center" vertical="center"/>
    </xf>
    <xf numFmtId="166" fontId="7" fillId="11" borderId="8" xfId="3" applyNumberFormat="1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166" fontId="7" fillId="11" borderId="14" xfId="3" applyNumberFormat="1" applyFont="1" applyFill="1" applyBorder="1" applyAlignment="1">
      <alignment horizontal="center" vertical="center"/>
    </xf>
    <xf numFmtId="43" fontId="7" fillId="11" borderId="18" xfId="1" applyFont="1" applyFill="1" applyBorder="1" applyAlignment="1">
      <alignment horizontal="center" vertical="center"/>
    </xf>
    <xf numFmtId="43" fontId="3" fillId="9" borderId="30" xfId="1" applyFont="1" applyFill="1" applyBorder="1" applyAlignment="1">
      <alignment horizontal="center" vertical="center"/>
    </xf>
    <xf numFmtId="43" fontId="7" fillId="11" borderId="31" xfId="1" applyFont="1" applyFill="1" applyBorder="1" applyAlignment="1">
      <alignment horizontal="center" vertical="center"/>
    </xf>
    <xf numFmtId="43" fontId="7" fillId="11" borderId="32" xfId="1" applyFont="1" applyFill="1" applyBorder="1" applyAlignment="1">
      <alignment horizontal="center" vertical="center"/>
    </xf>
    <xf numFmtId="0" fontId="3" fillId="0" borderId="0" xfId="0" applyFont="1"/>
    <xf numFmtId="0" fontId="12" fillId="15" borderId="34" xfId="0" applyFont="1" applyFill="1" applyBorder="1" applyAlignment="1">
      <alignment horizontal="left" wrapText="1"/>
    </xf>
    <xf numFmtId="166" fontId="13" fillId="16" borderId="26" xfId="3" applyNumberFormat="1" applyFont="1" applyFill="1" applyBorder="1" applyAlignment="1">
      <alignment horizontal="center" vertical="center"/>
    </xf>
    <xf numFmtId="9" fontId="13" fillId="16" borderId="24" xfId="2" applyFont="1" applyFill="1" applyBorder="1" applyAlignment="1">
      <alignment horizontal="center" vertical="center"/>
    </xf>
    <xf numFmtId="43" fontId="3" fillId="17" borderId="35" xfId="1" applyFont="1" applyFill="1" applyBorder="1" applyAlignment="1">
      <alignment horizontal="center" vertical="center"/>
    </xf>
    <xf numFmtId="43" fontId="3" fillId="17" borderId="10" xfId="1" applyFont="1" applyFill="1" applyBorder="1" applyAlignment="1">
      <alignment horizontal="center" vertical="center"/>
    </xf>
    <xf numFmtId="167" fontId="3" fillId="0" borderId="9" xfId="1" applyNumberFormat="1" applyFont="1" applyBorder="1" applyAlignment="1">
      <alignment horizontal="right" vertical="center"/>
    </xf>
    <xf numFmtId="0" fontId="12" fillId="15" borderId="37" xfId="0" applyFont="1" applyFill="1" applyBorder="1" applyAlignment="1">
      <alignment horizontal="left" wrapText="1"/>
    </xf>
    <xf numFmtId="166" fontId="13" fillId="16" borderId="29" xfId="3" applyNumberFormat="1" applyFont="1" applyFill="1" applyBorder="1" applyAlignment="1">
      <alignment horizontal="center" vertical="center"/>
    </xf>
    <xf numFmtId="9" fontId="13" fillId="16" borderId="27" xfId="2" applyFont="1" applyFill="1" applyBorder="1" applyAlignment="1">
      <alignment horizontal="center" vertical="center"/>
    </xf>
    <xf numFmtId="0" fontId="12" fillId="15" borderId="39" xfId="0" applyFont="1" applyFill="1" applyBorder="1" applyAlignment="1">
      <alignment horizontal="left" wrapText="1"/>
    </xf>
    <xf numFmtId="9" fontId="13" fillId="16" borderId="40" xfId="2" applyFont="1" applyFill="1" applyBorder="1" applyAlignment="1">
      <alignment horizontal="center" vertical="center"/>
    </xf>
    <xf numFmtId="0" fontId="12" fillId="18" borderId="34" xfId="0" applyFont="1" applyFill="1" applyBorder="1" applyAlignment="1">
      <alignment horizontal="left" wrapText="1"/>
    </xf>
    <xf numFmtId="0" fontId="12" fillId="18" borderId="39" xfId="0" applyFont="1" applyFill="1" applyBorder="1" applyAlignment="1">
      <alignment horizontal="left" wrapText="1"/>
    </xf>
    <xf numFmtId="0" fontId="12" fillId="19" borderId="34" xfId="0" applyFont="1" applyFill="1" applyBorder="1" applyAlignment="1">
      <alignment horizontal="left" wrapText="1"/>
    </xf>
    <xf numFmtId="0" fontId="12" fillId="19" borderId="37" xfId="0" applyFont="1" applyFill="1" applyBorder="1" applyAlignment="1">
      <alignment horizontal="left" wrapText="1"/>
    </xf>
    <xf numFmtId="0" fontId="12" fillId="19" borderId="39" xfId="0" applyFont="1" applyFill="1" applyBorder="1" applyAlignment="1">
      <alignment horizontal="left" wrapText="1"/>
    </xf>
    <xf numFmtId="0" fontId="12" fillId="15" borderId="42" xfId="0" applyFont="1" applyFill="1" applyBorder="1" applyAlignment="1">
      <alignment horizontal="left" wrapText="1"/>
    </xf>
    <xf numFmtId="0" fontId="4" fillId="0" borderId="13" xfId="0" applyFont="1" applyBorder="1" applyAlignment="1">
      <alignment vertical="center"/>
    </xf>
    <xf numFmtId="166" fontId="13" fillId="16" borderId="32" xfId="3" applyNumberFormat="1" applyFont="1" applyFill="1" applyBorder="1" applyAlignment="1">
      <alignment horizontal="center" vertical="center"/>
    </xf>
    <xf numFmtId="9" fontId="13" fillId="16" borderId="14" xfId="2" applyFont="1" applyFill="1" applyBorder="1" applyAlignment="1">
      <alignment horizontal="center" vertical="center"/>
    </xf>
    <xf numFmtId="43" fontId="3" fillId="0" borderId="43" xfId="1" applyFont="1" applyBorder="1" applyAlignment="1">
      <alignment horizontal="right" vertical="center"/>
    </xf>
    <xf numFmtId="43" fontId="3" fillId="17" borderId="44" xfId="1" applyFont="1" applyFill="1" applyBorder="1" applyAlignment="1">
      <alignment horizontal="center" vertical="center"/>
    </xf>
    <xf numFmtId="167" fontId="3" fillId="0" borderId="17" xfId="1" applyNumberFormat="1" applyFont="1" applyBorder="1" applyAlignment="1">
      <alignment horizontal="right" vertical="center"/>
    </xf>
    <xf numFmtId="43" fontId="3" fillId="17" borderId="45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9" fontId="13" fillId="0" borderId="0" xfId="2" applyFont="1" applyAlignment="1">
      <alignment horizontal="center" vertical="center"/>
    </xf>
    <xf numFmtId="167" fontId="3" fillId="0" borderId="0" xfId="1" applyNumberFormat="1" applyFont="1" applyAlignment="1">
      <alignment horizontal="right" vertical="center"/>
    </xf>
    <xf numFmtId="0" fontId="9" fillId="22" borderId="7" xfId="0" applyFont="1" applyFill="1" applyBorder="1" applyAlignment="1">
      <alignment vertical="center"/>
    </xf>
    <xf numFmtId="0" fontId="9" fillId="22" borderId="8" xfId="0" applyFont="1" applyFill="1" applyBorder="1" applyAlignment="1">
      <alignment vertical="center"/>
    </xf>
    <xf numFmtId="166" fontId="13" fillId="16" borderId="47" xfId="3" applyNumberFormat="1" applyFont="1" applyFill="1" applyBorder="1" applyAlignment="1">
      <alignment horizontal="center" vertical="center"/>
    </xf>
    <xf numFmtId="9" fontId="13" fillId="16" borderId="29" xfId="2" applyFont="1" applyFill="1" applyBorder="1" applyAlignment="1">
      <alignment horizontal="center" vertical="center"/>
    </xf>
    <xf numFmtId="43" fontId="3" fillId="0" borderId="48" xfId="1" applyFont="1" applyBorder="1" applyAlignment="1">
      <alignment horizontal="right" vertical="center"/>
    </xf>
    <xf numFmtId="166" fontId="13" fillId="16" borderId="28" xfId="3" applyNumberFormat="1" applyFont="1" applyFill="1" applyBorder="1" applyAlignment="1">
      <alignment horizontal="center" vertical="center"/>
    </xf>
    <xf numFmtId="0" fontId="4" fillId="23" borderId="12" xfId="0" applyFont="1" applyFill="1" applyBorder="1" applyAlignment="1">
      <alignment vertical="center"/>
    </xf>
    <xf numFmtId="0" fontId="4" fillId="23" borderId="14" xfId="0" applyFont="1" applyFill="1" applyBorder="1" applyAlignment="1">
      <alignment vertical="center"/>
    </xf>
    <xf numFmtId="166" fontId="13" fillId="16" borderId="31" xfId="3" applyNumberFormat="1" applyFont="1" applyFill="1" applyBorder="1" applyAlignment="1">
      <alignment horizontal="center" vertical="center"/>
    </xf>
    <xf numFmtId="166" fontId="13" fillId="0" borderId="0" xfId="3" applyNumberFormat="1" applyFont="1" applyAlignment="1">
      <alignment horizontal="center" vertical="center"/>
    </xf>
    <xf numFmtId="43" fontId="3" fillId="0" borderId="0" xfId="1" applyFont="1" applyAlignment="1">
      <alignment vertical="center"/>
    </xf>
    <xf numFmtId="0" fontId="9" fillId="26" borderId="7" xfId="0" applyFont="1" applyFill="1" applyBorder="1" applyAlignment="1">
      <alignment vertical="center"/>
    </xf>
    <xf numFmtId="0" fontId="9" fillId="26" borderId="8" xfId="0" applyFont="1" applyFill="1" applyBorder="1" applyAlignment="1">
      <alignment vertical="center"/>
    </xf>
    <xf numFmtId="9" fontId="13" fillId="16" borderId="49" xfId="2" applyFont="1" applyFill="1" applyBorder="1" applyAlignment="1">
      <alignment horizontal="center" vertical="center"/>
    </xf>
    <xf numFmtId="0" fontId="4" fillId="26" borderId="12" xfId="0" applyFont="1" applyFill="1" applyBorder="1" applyAlignment="1">
      <alignment vertical="center"/>
    </xf>
    <xf numFmtId="0" fontId="4" fillId="26" borderId="14" xfId="0" applyFont="1" applyFill="1" applyBorder="1" applyAlignment="1">
      <alignment vertical="center"/>
    </xf>
    <xf numFmtId="0" fontId="9" fillId="26" borderId="14" xfId="0" applyFont="1" applyFill="1" applyBorder="1" applyAlignment="1">
      <alignment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43" fontId="3" fillId="0" borderId="43" xfId="1" applyFont="1" applyBorder="1" applyAlignment="1">
      <alignment horizontal="center" vertical="center"/>
    </xf>
    <xf numFmtId="9" fontId="13" fillId="16" borderId="41" xfId="2" applyFont="1" applyFill="1" applyBorder="1" applyAlignment="1">
      <alignment horizontal="center" vertical="center"/>
    </xf>
    <xf numFmtId="43" fontId="3" fillId="0" borderId="17" xfId="1" applyFont="1" applyBorder="1" applyAlignment="1">
      <alignment horizontal="center" vertical="center"/>
    </xf>
    <xf numFmtId="43" fontId="3" fillId="0" borderId="18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9" fontId="13" fillId="16" borderId="32" xfId="2" applyFont="1" applyFill="1" applyBorder="1" applyAlignment="1">
      <alignment horizontal="center" vertical="center"/>
    </xf>
    <xf numFmtId="0" fontId="3" fillId="11" borderId="0" xfId="0" applyFont="1" applyFill="1" applyAlignment="1">
      <alignment vertical="center"/>
    </xf>
    <xf numFmtId="0" fontId="4" fillId="30" borderId="36" xfId="0" applyFont="1" applyFill="1" applyBorder="1" applyAlignment="1">
      <alignment horizontal="left" vertical="center"/>
    </xf>
    <xf numFmtId="0" fontId="4" fillId="30" borderId="8" xfId="0" applyFont="1" applyFill="1" applyBorder="1" applyAlignment="1">
      <alignment vertical="center"/>
    </xf>
    <xf numFmtId="43" fontId="3" fillId="0" borderId="48" xfId="1" applyFont="1" applyBorder="1" applyAlignment="1">
      <alignment horizontal="center" vertical="center"/>
    </xf>
    <xf numFmtId="0" fontId="14" fillId="30" borderId="8" xfId="0" applyFont="1" applyFill="1" applyBorder="1" applyAlignment="1">
      <alignment vertical="center"/>
    </xf>
    <xf numFmtId="166" fontId="13" fillId="16" borderId="0" xfId="3" applyNumberFormat="1" applyFont="1" applyFill="1" applyAlignment="1">
      <alignment horizontal="center" vertical="center"/>
    </xf>
    <xf numFmtId="0" fontId="4" fillId="30" borderId="41" xfId="0" applyFont="1" applyFill="1" applyBorder="1" applyAlignment="1">
      <alignment horizontal="left" vertical="center"/>
    </xf>
    <xf numFmtId="0" fontId="4" fillId="30" borderId="14" xfId="0" applyFont="1" applyFill="1" applyBorder="1" applyAlignment="1">
      <alignment vertical="center"/>
    </xf>
    <xf numFmtId="166" fontId="13" fillId="16" borderId="13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8" borderId="36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9" fillId="8" borderId="8" xfId="0" applyFont="1" applyFill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51" xfId="1" applyFont="1" applyBorder="1" applyAlignment="1">
      <alignment horizontal="center" vertical="center"/>
    </xf>
    <xf numFmtId="43" fontId="3" fillId="9" borderId="26" xfId="1" applyFont="1" applyFill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52" xfId="1" applyFont="1" applyBorder="1" applyAlignment="1">
      <alignment horizontal="center" vertical="center"/>
    </xf>
    <xf numFmtId="43" fontId="3" fillId="9" borderId="29" xfId="1" applyFont="1" applyFill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17" borderId="49" xfId="1" applyFont="1" applyFill="1" applyBorder="1" applyAlignment="1">
      <alignment horizontal="center" vertical="center"/>
    </xf>
    <xf numFmtId="43" fontId="3" fillId="0" borderId="28" xfId="1" applyFont="1" applyBorder="1" applyAlignment="1">
      <alignment horizontal="center" vertical="center"/>
    </xf>
    <xf numFmtId="43" fontId="3" fillId="17" borderId="40" xfId="1" applyFont="1" applyFill="1" applyBorder="1" applyAlignment="1">
      <alignment horizontal="center" vertical="center"/>
    </xf>
    <xf numFmtId="0" fontId="4" fillId="27" borderId="36" xfId="0" applyFont="1" applyFill="1" applyBorder="1" applyAlignment="1">
      <alignment vertical="center"/>
    </xf>
    <xf numFmtId="0" fontId="4" fillId="27" borderId="8" xfId="0" applyFont="1" applyFill="1" applyBorder="1" applyAlignment="1">
      <alignment vertical="center"/>
    </xf>
    <xf numFmtId="166" fontId="13" fillId="16" borderId="54" xfId="3" applyNumberFormat="1" applyFont="1" applyFill="1" applyBorder="1" applyAlignment="1">
      <alignment horizontal="center" vertical="center"/>
    </xf>
    <xf numFmtId="166" fontId="13" fillId="16" borderId="55" xfId="3" applyNumberFormat="1" applyFont="1" applyFill="1" applyBorder="1" applyAlignment="1">
      <alignment horizontal="center" vertical="center"/>
    </xf>
    <xf numFmtId="0" fontId="4" fillId="27" borderId="41" xfId="0" applyFont="1" applyFill="1" applyBorder="1" applyAlignment="1">
      <alignment vertical="center"/>
    </xf>
    <xf numFmtId="0" fontId="4" fillId="27" borderId="14" xfId="0" applyFont="1" applyFill="1" applyBorder="1" applyAlignment="1">
      <alignment vertical="center"/>
    </xf>
    <xf numFmtId="166" fontId="13" fillId="16" borderId="57" xfId="3" applyNumberFormat="1" applyFont="1" applyFill="1" applyBorder="1" applyAlignment="1">
      <alignment horizontal="center" vertical="center"/>
    </xf>
    <xf numFmtId="0" fontId="4" fillId="11" borderId="0" xfId="0" applyFont="1" applyFill="1" applyAlignment="1">
      <alignment vertical="center"/>
    </xf>
    <xf numFmtId="166" fontId="13" fillId="11" borderId="0" xfId="3" applyNumberFormat="1" applyFont="1" applyFill="1" applyAlignment="1">
      <alignment horizontal="center" vertical="center"/>
    </xf>
    <xf numFmtId="9" fontId="13" fillId="11" borderId="0" xfId="2" applyFont="1" applyFill="1" applyAlignment="1">
      <alignment horizontal="center" vertical="center"/>
    </xf>
    <xf numFmtId="43" fontId="3" fillId="11" borderId="0" xfId="1" applyFont="1" applyFill="1" applyAlignment="1">
      <alignment horizontal="right" vertical="center"/>
    </xf>
    <xf numFmtId="0" fontId="3" fillId="11" borderId="0" xfId="0" applyFont="1" applyFill="1" applyAlignment="1">
      <alignment horizontal="left" vertical="center"/>
    </xf>
    <xf numFmtId="0" fontId="4" fillId="16" borderId="7" xfId="0" applyFont="1" applyFill="1" applyBorder="1" applyAlignment="1">
      <alignment vertical="center"/>
    </xf>
    <xf numFmtId="0" fontId="4" fillId="16" borderId="0" xfId="0" applyFont="1" applyFill="1" applyAlignment="1">
      <alignment vertical="center"/>
    </xf>
    <xf numFmtId="0" fontId="4" fillId="16" borderId="8" xfId="0" applyFont="1" applyFill="1" applyBorder="1" applyAlignment="1">
      <alignment vertical="center"/>
    </xf>
    <xf numFmtId="43" fontId="3" fillId="0" borderId="61" xfId="1" applyFont="1" applyBorder="1" applyAlignment="1">
      <alignment horizontal="right" vertical="center"/>
    </xf>
    <xf numFmtId="43" fontId="3" fillId="9" borderId="35" xfId="1" applyFont="1" applyFill="1" applyBorder="1" applyAlignment="1">
      <alignment horizontal="center" vertical="center"/>
    </xf>
    <xf numFmtId="1" fontId="3" fillId="32" borderId="0" xfId="0" applyNumberFormat="1" applyFont="1" applyFill="1" applyAlignment="1">
      <alignment vertical="center"/>
    </xf>
    <xf numFmtId="0" fontId="4" fillId="16" borderId="12" xfId="0" applyFont="1" applyFill="1" applyBorder="1" applyAlignment="1">
      <alignment vertical="center"/>
    </xf>
    <xf numFmtId="0" fontId="4" fillId="16" borderId="13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4" fillId="4" borderId="41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4" fillId="9" borderId="36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41" xfId="0" applyFont="1" applyFill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168" fontId="13" fillId="16" borderId="13" xfId="3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166" fontId="21" fillId="0" borderId="0" xfId="3" applyNumberFormat="1" applyFont="1" applyAlignment="1">
      <alignment vertical="center"/>
    </xf>
    <xf numFmtId="16" fontId="22" fillId="4" borderId="10" xfId="1" applyNumberFormat="1" applyFont="1" applyFill="1" applyBorder="1" applyAlignment="1">
      <alignment horizontal="center" vertical="center"/>
    </xf>
    <xf numFmtId="16" fontId="22" fillId="4" borderId="52" xfId="1" applyNumberFormat="1" applyFont="1" applyFill="1" applyBorder="1" applyAlignment="1">
      <alignment horizontal="center" vertical="center"/>
    </xf>
    <xf numFmtId="16" fontId="23" fillId="0" borderId="0" xfId="1" applyNumberFormat="1" applyFont="1" applyAlignment="1">
      <alignment horizontal="center" vertical="center"/>
    </xf>
    <xf numFmtId="16" fontId="23" fillId="18" borderId="37" xfId="1" applyNumberFormat="1" applyFont="1" applyFill="1" applyBorder="1" applyAlignment="1">
      <alignment horizontal="center" vertical="center"/>
    </xf>
    <xf numFmtId="16" fontId="23" fillId="18" borderId="10" xfId="1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43" fontId="24" fillId="16" borderId="10" xfId="1" applyFont="1" applyFill="1" applyBorder="1" applyAlignment="1">
      <alignment horizontal="center" vertical="center"/>
    </xf>
    <xf numFmtId="43" fontId="24" fillId="16" borderId="52" xfId="1" applyFont="1" applyFill="1" applyBorder="1" applyAlignment="1">
      <alignment horizontal="center" vertical="center"/>
    </xf>
    <xf numFmtId="43" fontId="24" fillId="16" borderId="37" xfId="1" applyFont="1" applyFill="1" applyBorder="1" applyAlignment="1">
      <alignment horizontal="center" vertical="center"/>
    </xf>
    <xf numFmtId="0" fontId="24" fillId="16" borderId="62" xfId="0" applyFont="1" applyFill="1" applyBorder="1" applyAlignment="1">
      <alignment horizontal="left"/>
    </xf>
    <xf numFmtId="0" fontId="24" fillId="16" borderId="40" xfId="0" applyFont="1" applyFill="1" applyBorder="1" applyAlignment="1">
      <alignment horizontal="left"/>
    </xf>
    <xf numFmtId="43" fontId="24" fillId="0" borderId="0" xfId="1" applyFont="1" applyAlignment="1">
      <alignment horizontal="center" vertical="center"/>
    </xf>
    <xf numFmtId="0" fontId="24" fillId="16" borderId="52" xfId="0" applyFont="1" applyFill="1" applyBorder="1" applyAlignment="1">
      <alignment horizontal="left"/>
    </xf>
    <xf numFmtId="0" fontId="24" fillId="16" borderId="27" xfId="0" applyFont="1" applyFill="1" applyBorder="1" applyAlignment="1">
      <alignment horizontal="left"/>
    </xf>
    <xf numFmtId="0" fontId="24" fillId="28" borderId="52" xfId="0" applyFont="1" applyFill="1" applyBorder="1" applyAlignment="1">
      <alignment horizontal="left"/>
    </xf>
    <xf numFmtId="0" fontId="24" fillId="28" borderId="27" xfId="0" applyFont="1" applyFill="1" applyBorder="1" applyAlignment="1">
      <alignment horizontal="left"/>
    </xf>
    <xf numFmtId="43" fontId="24" fillId="28" borderId="10" xfId="1" applyFont="1" applyFill="1" applyBorder="1" applyAlignment="1">
      <alignment horizontal="center" vertical="center"/>
    </xf>
    <xf numFmtId="43" fontId="24" fillId="28" borderId="52" xfId="1" applyFont="1" applyFill="1" applyBorder="1" applyAlignment="1">
      <alignment horizontal="center" vertical="center"/>
    </xf>
    <xf numFmtId="43" fontId="24" fillId="28" borderId="37" xfId="1" applyFont="1" applyFill="1" applyBorder="1" applyAlignment="1">
      <alignment horizontal="center" vertical="center"/>
    </xf>
    <xf numFmtId="0" fontId="24" fillId="16" borderId="28" xfId="0" applyFont="1" applyFill="1" applyBorder="1" applyAlignment="1">
      <alignment horizontal="left"/>
    </xf>
    <xf numFmtId="0" fontId="24" fillId="16" borderId="55" xfId="0" applyFont="1" applyFill="1" applyBorder="1" applyAlignment="1">
      <alignment horizontal="left"/>
    </xf>
    <xf numFmtId="0" fontId="24" fillId="16" borderId="37" xfId="0" applyFont="1" applyFill="1" applyBorder="1" applyAlignment="1">
      <alignment horizontal="left"/>
    </xf>
    <xf numFmtId="0" fontId="24" fillId="28" borderId="28" xfId="0" applyFont="1" applyFill="1" applyBorder="1" applyAlignment="1">
      <alignment horizontal="left"/>
    </xf>
    <xf numFmtId="0" fontId="24" fillId="28" borderId="55" xfId="0" applyFont="1" applyFill="1" applyBorder="1" applyAlignment="1">
      <alignment horizontal="left"/>
    </xf>
    <xf numFmtId="0" fontId="24" fillId="28" borderId="37" xfId="0" applyFont="1" applyFill="1" applyBorder="1" applyAlignment="1">
      <alignment horizontal="left"/>
    </xf>
    <xf numFmtId="166" fontId="25" fillId="0" borderId="0" xfId="3" applyNumberFormat="1" applyFont="1" applyAlignment="1">
      <alignment vertical="center"/>
    </xf>
    <xf numFmtId="0" fontId="24" fillId="28" borderId="63" xfId="0" applyFont="1" applyFill="1" applyBorder="1" applyAlignment="1">
      <alignment horizontal="left"/>
    </xf>
    <xf numFmtId="0" fontId="24" fillId="28" borderId="56" xfId="0" applyFont="1" applyFill="1" applyBorder="1" applyAlignment="1">
      <alignment horizontal="left"/>
    </xf>
    <xf numFmtId="0" fontId="24" fillId="28" borderId="39" xfId="0" applyFont="1" applyFill="1" applyBorder="1" applyAlignment="1">
      <alignment horizontal="left"/>
    </xf>
    <xf numFmtId="0" fontId="24" fillId="28" borderId="64" xfId="0" applyFont="1" applyFill="1" applyBorder="1" applyAlignment="1">
      <alignment horizontal="left"/>
    </xf>
    <xf numFmtId="0" fontId="24" fillId="28" borderId="65" xfId="0" applyFont="1" applyFill="1" applyBorder="1" applyAlignment="1">
      <alignment horizontal="left"/>
    </xf>
    <xf numFmtId="43" fontId="24" fillId="35" borderId="10" xfId="1" applyFont="1" applyFill="1" applyBorder="1" applyAlignment="1">
      <alignment horizontal="center" vertical="center"/>
    </xf>
    <xf numFmtId="43" fontId="24" fillId="35" borderId="52" xfId="1" applyFont="1" applyFill="1" applyBorder="1" applyAlignment="1">
      <alignment horizontal="center" vertical="center"/>
    </xf>
    <xf numFmtId="43" fontId="24" fillId="35" borderId="37" xfId="1" applyFont="1" applyFill="1" applyBorder="1" applyAlignment="1">
      <alignment horizontal="center" vertical="center"/>
    </xf>
    <xf numFmtId="0" fontId="0" fillId="30" borderId="10" xfId="0" applyFill="1" applyBorder="1"/>
    <xf numFmtId="0" fontId="0" fillId="30" borderId="37" xfId="0" applyFill="1" applyBorder="1"/>
    <xf numFmtId="43" fontId="24" fillId="16" borderId="0" xfId="1" applyFont="1" applyFill="1" applyBorder="1" applyAlignment="1">
      <alignment horizontal="center" vertical="center"/>
    </xf>
    <xf numFmtId="0" fontId="23" fillId="11" borderId="0" xfId="0" applyFont="1" applyFill="1" applyBorder="1" applyAlignment="1">
      <alignment horizontal="left"/>
    </xf>
    <xf numFmtId="0" fontId="0" fillId="11" borderId="0" xfId="0" applyFill="1"/>
    <xf numFmtId="43" fontId="23" fillId="2" borderId="50" xfId="1" applyFont="1" applyFill="1" applyBorder="1" applyAlignment="1">
      <alignment horizontal="center" vertical="center"/>
    </xf>
    <xf numFmtId="43" fontId="24" fillId="16" borderId="61" xfId="1" applyFont="1" applyFill="1" applyBorder="1" applyAlignment="1">
      <alignment horizontal="center" vertical="center"/>
    </xf>
    <xf numFmtId="43" fontId="23" fillId="11" borderId="0" xfId="1" applyFont="1" applyFill="1" applyBorder="1" applyAlignment="1">
      <alignment horizontal="center" vertical="center"/>
    </xf>
    <xf numFmtId="43" fontId="24" fillId="16" borderId="4" xfId="1" applyFont="1" applyFill="1" applyBorder="1" applyAlignment="1">
      <alignment horizontal="center" vertical="center"/>
    </xf>
    <xf numFmtId="43" fontId="24" fillId="16" borderId="5" xfId="1" applyFont="1" applyFill="1" applyBorder="1" applyAlignment="1">
      <alignment horizontal="center" vertical="center"/>
    </xf>
    <xf numFmtId="43" fontId="24" fillId="16" borderId="6" xfId="1" applyFont="1" applyFill="1" applyBorder="1" applyAlignment="1">
      <alignment horizontal="center" vertical="center"/>
    </xf>
    <xf numFmtId="43" fontId="24" fillId="16" borderId="9" xfId="1" applyFont="1" applyFill="1" applyBorder="1" applyAlignment="1">
      <alignment horizontal="center" vertical="center"/>
    </xf>
    <xf numFmtId="43" fontId="24" fillId="16" borderId="11" xfId="1" applyFont="1" applyFill="1" applyBorder="1" applyAlignment="1">
      <alignment horizontal="center" vertical="center"/>
    </xf>
    <xf numFmtId="43" fontId="24" fillId="28" borderId="9" xfId="1" applyFont="1" applyFill="1" applyBorder="1" applyAlignment="1">
      <alignment horizontal="center" vertical="center"/>
    </xf>
    <xf numFmtId="43" fontId="24" fillId="28" borderId="11" xfId="1" applyFont="1" applyFill="1" applyBorder="1" applyAlignment="1">
      <alignment horizontal="center" vertical="center"/>
    </xf>
    <xf numFmtId="43" fontId="23" fillId="2" borderId="17" xfId="1" applyFont="1" applyFill="1" applyBorder="1" applyAlignment="1">
      <alignment horizontal="center" vertical="center"/>
    </xf>
    <xf numFmtId="43" fontId="23" fillId="2" borderId="18" xfId="1" applyFont="1" applyFill="1" applyBorder="1" applyAlignment="1">
      <alignment horizontal="center" vertical="center"/>
    </xf>
    <xf numFmtId="43" fontId="23" fillId="2" borderId="19" xfId="1" applyFont="1" applyFill="1" applyBorder="1" applyAlignment="1">
      <alignment horizontal="center" vertical="center"/>
    </xf>
    <xf numFmtId="16" fontId="22" fillId="4" borderId="58" xfId="1" applyNumberFormat="1" applyFont="1" applyFill="1" applyBorder="1" applyAlignment="1">
      <alignment horizontal="center" vertical="center"/>
    </xf>
    <xf numFmtId="16" fontId="22" fillId="4" borderId="59" xfId="1" applyNumberFormat="1" applyFont="1" applyFill="1" applyBorder="1" applyAlignment="1">
      <alignment horizontal="center" vertical="center"/>
    </xf>
    <xf numFmtId="16" fontId="22" fillId="4" borderId="60" xfId="1" applyNumberFormat="1" applyFont="1" applyFill="1" applyBorder="1" applyAlignment="1">
      <alignment horizontal="center" vertical="center"/>
    </xf>
    <xf numFmtId="43" fontId="23" fillId="2" borderId="64" xfId="1" applyFont="1" applyFill="1" applyBorder="1" applyAlignment="1">
      <alignment horizontal="center" vertical="center"/>
    </xf>
    <xf numFmtId="43" fontId="23" fillId="2" borderId="39" xfId="1" applyFont="1" applyFill="1" applyBorder="1" applyAlignment="1">
      <alignment horizontal="center" vertical="center"/>
    </xf>
    <xf numFmtId="43" fontId="24" fillId="16" borderId="62" xfId="1" applyFont="1" applyFill="1" applyBorder="1" applyAlignment="1">
      <alignment horizontal="center" vertical="center"/>
    </xf>
    <xf numFmtId="43" fontId="24" fillId="16" borderId="66" xfId="1" applyFont="1" applyFill="1" applyBorder="1" applyAlignment="1">
      <alignment horizontal="center" vertical="center"/>
    </xf>
    <xf numFmtId="43" fontId="24" fillId="16" borderId="48" xfId="1" applyFont="1" applyFill="1" applyBorder="1" applyAlignment="1">
      <alignment horizontal="center" vertical="center"/>
    </xf>
    <xf numFmtId="166" fontId="25" fillId="11" borderId="0" xfId="3" applyNumberFormat="1" applyFont="1" applyFill="1" applyBorder="1" applyAlignment="1">
      <alignment vertical="center"/>
    </xf>
    <xf numFmtId="0" fontId="21" fillId="11" borderId="0" xfId="0" applyFont="1" applyFill="1" applyBorder="1" applyAlignment="1">
      <alignment vertical="center"/>
    </xf>
    <xf numFmtId="0" fontId="0" fillId="11" borderId="0" xfId="0" applyFill="1" applyBorder="1"/>
    <xf numFmtId="0" fontId="0" fillId="0" borderId="0" xfId="0" applyBorder="1"/>
    <xf numFmtId="43" fontId="24" fillId="35" borderId="50" xfId="1" applyFont="1" applyFill="1" applyBorder="1" applyAlignment="1">
      <alignment horizontal="center" vertical="center"/>
    </xf>
    <xf numFmtId="43" fontId="24" fillId="35" borderId="64" xfId="1" applyFont="1" applyFill="1" applyBorder="1" applyAlignment="1">
      <alignment horizontal="center" vertical="center"/>
    </xf>
    <xf numFmtId="43" fontId="24" fillId="35" borderId="39" xfId="1" applyFont="1" applyFill="1" applyBorder="1" applyAlignment="1">
      <alignment horizontal="center" vertical="center"/>
    </xf>
    <xf numFmtId="0" fontId="24" fillId="11" borderId="0" xfId="0" applyFont="1" applyFill="1" applyBorder="1" applyAlignment="1">
      <alignment horizontal="left"/>
    </xf>
    <xf numFmtId="43" fontId="24" fillId="11" borderId="0" xfId="1" applyFont="1" applyFill="1" applyBorder="1" applyAlignment="1">
      <alignment horizontal="center" vertical="center"/>
    </xf>
    <xf numFmtId="0" fontId="26" fillId="0" borderId="33" xfId="0" applyFont="1" applyFill="1" applyBorder="1" applyAlignment="1">
      <alignment vertical="center" textRotation="90"/>
    </xf>
    <xf numFmtId="43" fontId="24" fillId="35" borderId="9" xfId="1" applyFont="1" applyFill="1" applyBorder="1" applyAlignment="1">
      <alignment horizontal="center" vertical="center"/>
    </xf>
    <xf numFmtId="43" fontId="24" fillId="35" borderId="11" xfId="1" applyFont="1" applyFill="1" applyBorder="1" applyAlignment="1">
      <alignment horizontal="center" vertical="center"/>
    </xf>
    <xf numFmtId="43" fontId="24" fillId="35" borderId="17" xfId="1" applyFont="1" applyFill="1" applyBorder="1" applyAlignment="1">
      <alignment horizontal="center" vertical="center"/>
    </xf>
    <xf numFmtId="43" fontId="24" fillId="35" borderId="18" xfId="1" applyFont="1" applyFill="1" applyBorder="1" applyAlignment="1">
      <alignment horizontal="center" vertical="center"/>
    </xf>
    <xf numFmtId="43" fontId="24" fillId="35" borderId="19" xfId="1" applyFont="1" applyFill="1" applyBorder="1" applyAlignment="1">
      <alignment horizontal="center" vertical="center"/>
    </xf>
    <xf numFmtId="43" fontId="24" fillId="16" borderId="18" xfId="1" applyFont="1" applyFill="1" applyBorder="1" applyAlignment="1">
      <alignment horizontal="center" vertical="center"/>
    </xf>
    <xf numFmtId="43" fontId="24" fillId="16" borderId="19" xfId="1" applyFont="1" applyFill="1" applyBorder="1" applyAlignment="1">
      <alignment horizontal="center" vertical="center"/>
    </xf>
    <xf numFmtId="43" fontId="24" fillId="16" borderId="43" xfId="1" applyFont="1" applyFill="1" applyBorder="1" applyAlignment="1">
      <alignment horizontal="center" vertical="center"/>
    </xf>
    <xf numFmtId="169" fontId="2" fillId="36" borderId="29" xfId="0" applyNumberFormat="1" applyFont="1" applyFill="1" applyBorder="1"/>
    <xf numFmtId="169" fontId="2" fillId="36" borderId="32" xfId="0" applyNumberFormat="1" applyFont="1" applyFill="1" applyBorder="1"/>
    <xf numFmtId="170" fontId="3" fillId="0" borderId="9" xfId="1" applyNumberFormat="1" applyFont="1" applyBorder="1" applyAlignment="1">
      <alignment horizontal="right" vertical="center"/>
    </xf>
    <xf numFmtId="170" fontId="3" fillId="0" borderId="17" xfId="1" applyNumberFormat="1" applyFont="1" applyBorder="1" applyAlignment="1">
      <alignment horizontal="right" vertical="center"/>
    </xf>
    <xf numFmtId="164" fontId="13" fillId="16" borderId="0" xfId="3" applyFont="1" applyFill="1" applyBorder="1" applyAlignment="1">
      <alignment horizontal="center" vertical="center"/>
    </xf>
    <xf numFmtId="0" fontId="14" fillId="30" borderId="14" xfId="0" applyFont="1" applyFill="1" applyBorder="1" applyAlignment="1">
      <alignment vertical="center"/>
    </xf>
    <xf numFmtId="164" fontId="13" fillId="16" borderId="13" xfId="3" applyFont="1" applyFill="1" applyBorder="1" applyAlignment="1">
      <alignment horizontal="center" vertical="center"/>
    </xf>
    <xf numFmtId="43" fontId="3" fillId="0" borderId="67" xfId="1" applyFont="1" applyBorder="1" applyAlignment="1">
      <alignment horizontal="center" vertical="center"/>
    </xf>
    <xf numFmtId="167" fontId="3" fillId="0" borderId="0" xfId="1" applyNumberFormat="1" applyFont="1" applyBorder="1" applyAlignment="1">
      <alignment horizontal="right" vertical="center"/>
    </xf>
    <xf numFmtId="43" fontId="3" fillId="0" borderId="0" xfId="1" applyFont="1" applyBorder="1" applyAlignment="1">
      <alignment horizontal="right" vertical="center"/>
    </xf>
    <xf numFmtId="167" fontId="24" fillId="16" borderId="26" xfId="1" applyNumberFormat="1" applyFont="1" applyFill="1" applyBorder="1" applyAlignment="1">
      <alignment horizontal="center" vertical="center"/>
    </xf>
    <xf numFmtId="167" fontId="24" fillId="16" borderId="29" xfId="1" applyNumberFormat="1" applyFont="1" applyFill="1" applyBorder="1" applyAlignment="1">
      <alignment horizontal="center" vertical="center"/>
    </xf>
    <xf numFmtId="167" fontId="24" fillId="16" borderId="32" xfId="1" applyNumberFormat="1" applyFont="1" applyFill="1" applyBorder="1" applyAlignment="1">
      <alignment horizontal="center" vertical="center"/>
    </xf>
    <xf numFmtId="43" fontId="24" fillId="16" borderId="51" xfId="1" applyFont="1" applyFill="1" applyBorder="1" applyAlignment="1">
      <alignment horizontal="center" vertical="center"/>
    </xf>
    <xf numFmtId="167" fontId="3" fillId="0" borderId="29" xfId="1" applyNumberFormat="1" applyFont="1" applyBorder="1" applyAlignment="1">
      <alignment horizontal="right" vertical="center"/>
    </xf>
    <xf numFmtId="43" fontId="3" fillId="0" borderId="29" xfId="1" applyFont="1" applyBorder="1" applyAlignment="1">
      <alignment horizontal="right" vertical="center"/>
    </xf>
    <xf numFmtId="167" fontId="3" fillId="0" borderId="32" xfId="1" applyNumberFormat="1" applyFont="1" applyBorder="1" applyAlignment="1">
      <alignment horizontal="right" vertical="center"/>
    </xf>
    <xf numFmtId="166" fontId="13" fillId="16" borderId="0" xfId="3" applyNumberFormat="1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/>
    </xf>
    <xf numFmtId="43" fontId="3" fillId="17" borderId="41" xfId="1" applyFont="1" applyFill="1" applyBorder="1" applyAlignment="1">
      <alignment horizontal="center" vertical="center"/>
    </xf>
    <xf numFmtId="0" fontId="2" fillId="40" borderId="68" xfId="0" applyFont="1" applyFill="1" applyBorder="1" applyAlignment="1">
      <alignment horizontal="center" vertical="center" wrapText="1"/>
    </xf>
    <xf numFmtId="0" fontId="2" fillId="37" borderId="6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30" borderId="68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2" fillId="39" borderId="68" xfId="0" applyFont="1" applyFill="1" applyBorder="1" applyAlignment="1">
      <alignment horizontal="center" vertical="center"/>
    </xf>
    <xf numFmtId="16" fontId="0" fillId="41" borderId="41" xfId="0" applyNumberFormat="1" applyFill="1" applyBorder="1" applyAlignment="1">
      <alignment horizontal="center" vertical="center"/>
    </xf>
    <xf numFmtId="0" fontId="0" fillId="42" borderId="47" xfId="0" applyFill="1" applyBorder="1" applyAlignment="1">
      <alignment horizontal="center"/>
    </xf>
    <xf numFmtId="43" fontId="0" fillId="43" borderId="48" xfId="1" applyFont="1" applyFill="1" applyBorder="1" applyAlignment="1">
      <alignment horizontal="center"/>
    </xf>
    <xf numFmtId="43" fontId="0" fillId="16" borderId="62" xfId="1" applyFont="1" applyFill="1" applyBorder="1" applyAlignment="1">
      <alignment horizontal="center"/>
    </xf>
    <xf numFmtId="43" fontId="0" fillId="0" borderId="26" xfId="1" applyFont="1" applyBorder="1" applyAlignment="1">
      <alignment horizontal="center"/>
    </xf>
    <xf numFmtId="43" fontId="0" fillId="27" borderId="49" xfId="1" applyFont="1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43" fontId="0" fillId="43" borderId="9" xfId="1" applyFont="1" applyFill="1" applyBorder="1" applyAlignment="1">
      <alignment horizontal="center"/>
    </xf>
    <xf numFmtId="43" fontId="0" fillId="16" borderId="52" xfId="1" applyFont="1" applyFill="1" applyBorder="1" applyAlignment="1">
      <alignment horizontal="center"/>
    </xf>
    <xf numFmtId="43" fontId="0" fillId="0" borderId="29" xfId="1" applyFont="1" applyBorder="1" applyAlignment="1">
      <alignment horizontal="center"/>
    </xf>
    <xf numFmtId="43" fontId="0" fillId="27" borderId="29" xfId="1" applyFont="1" applyFill="1" applyBorder="1" applyAlignment="1">
      <alignment horizontal="center"/>
    </xf>
    <xf numFmtId="0" fontId="0" fillId="42" borderId="63" xfId="0" applyFill="1" applyBorder="1" applyAlignment="1">
      <alignment horizontal="center"/>
    </xf>
    <xf numFmtId="43" fontId="0" fillId="43" borderId="43" xfId="1" applyFont="1" applyFill="1" applyBorder="1" applyAlignment="1">
      <alignment horizontal="center"/>
    </xf>
    <xf numFmtId="43" fontId="0" fillId="16" borderId="64" xfId="1" applyFont="1" applyFill="1" applyBorder="1" applyAlignment="1">
      <alignment horizontal="center"/>
    </xf>
    <xf numFmtId="43" fontId="0" fillId="0" borderId="38" xfId="1" applyFont="1" applyBorder="1" applyAlignment="1">
      <alignment horizontal="center"/>
    </xf>
    <xf numFmtId="0" fontId="2" fillId="39" borderId="68" xfId="0" applyFont="1" applyFill="1" applyBorder="1" applyAlignment="1">
      <alignment horizontal="center"/>
    </xf>
    <xf numFmtId="43" fontId="0" fillId="39" borderId="58" xfId="1" applyFont="1" applyFill="1" applyBorder="1" applyAlignment="1">
      <alignment horizontal="center"/>
    </xf>
    <xf numFmtId="43" fontId="0" fillId="39" borderId="70" xfId="1" applyFont="1" applyFill="1" applyBorder="1" applyAlignment="1">
      <alignment horizontal="center"/>
    </xf>
    <xf numFmtId="43" fontId="0" fillId="39" borderId="68" xfId="1" applyFont="1" applyFill="1" applyBorder="1" applyAlignment="1">
      <alignment horizontal="center"/>
    </xf>
    <xf numFmtId="43" fontId="29" fillId="0" borderId="0" xfId="1" applyFont="1"/>
    <xf numFmtId="43" fontId="7" fillId="4" borderId="11" xfId="1" applyFont="1" applyFill="1" applyBorder="1" applyAlignment="1">
      <alignment horizontal="center" vertical="center"/>
    </xf>
    <xf numFmtId="43" fontId="24" fillId="16" borderId="28" xfId="1" applyFont="1" applyFill="1" applyBorder="1" applyAlignment="1">
      <alignment horizontal="center" vertical="center"/>
    </xf>
    <xf numFmtId="43" fontId="23" fillId="2" borderId="10" xfId="1" applyFont="1" applyFill="1" applyBorder="1" applyAlignment="1">
      <alignment horizontal="center" vertical="center"/>
    </xf>
    <xf numFmtId="16" fontId="22" fillId="4" borderId="21" xfId="1" applyNumberFormat="1" applyFont="1" applyFill="1" applyBorder="1" applyAlignment="1">
      <alignment horizontal="center" vertical="center"/>
    </xf>
    <xf numFmtId="16" fontId="22" fillId="4" borderId="22" xfId="1" applyNumberFormat="1" applyFont="1" applyFill="1" applyBorder="1" applyAlignment="1">
      <alignment horizontal="center" vertical="center"/>
    </xf>
    <xf numFmtId="16" fontId="22" fillId="4" borderId="23" xfId="1" applyNumberFormat="1" applyFont="1" applyFill="1" applyBorder="1" applyAlignment="1">
      <alignment horizontal="center" vertical="center"/>
    </xf>
    <xf numFmtId="43" fontId="23" fillId="2" borderId="71" xfId="1" applyFont="1" applyFill="1" applyBorder="1" applyAlignment="1">
      <alignment horizontal="center" vertical="center"/>
    </xf>
    <xf numFmtId="43" fontId="23" fillId="2" borderId="72" xfId="1" applyFont="1" applyFill="1" applyBorder="1" applyAlignment="1">
      <alignment horizontal="center" vertical="center"/>
    </xf>
    <xf numFmtId="43" fontId="23" fillId="2" borderId="45" xfId="1" applyFont="1" applyFill="1" applyBorder="1" applyAlignment="1">
      <alignment horizontal="center" vertical="center"/>
    </xf>
    <xf numFmtId="43" fontId="24" fillId="28" borderId="17" xfId="1" applyFont="1" applyFill="1" applyBorder="1" applyAlignment="1">
      <alignment horizontal="center" vertical="center"/>
    </xf>
    <xf numFmtId="43" fontId="24" fillId="28" borderId="18" xfId="1" applyFont="1" applyFill="1" applyBorder="1" applyAlignment="1">
      <alignment horizontal="center" vertical="center"/>
    </xf>
    <xf numFmtId="43" fontId="24" fillId="28" borderId="19" xfId="1" applyFont="1" applyFill="1" applyBorder="1" applyAlignment="1">
      <alignment horizontal="center" vertical="center"/>
    </xf>
    <xf numFmtId="43" fontId="3" fillId="0" borderId="31" xfId="1" applyFont="1" applyBorder="1" applyAlignment="1">
      <alignment horizontal="center" vertical="center"/>
    </xf>
    <xf numFmtId="43" fontId="28" fillId="15" borderId="10" xfId="1" applyFont="1" applyFill="1" applyBorder="1" applyAlignment="1">
      <alignment horizontal="center" vertical="center" wrapText="1"/>
    </xf>
    <xf numFmtId="43" fontId="28" fillId="18" borderId="10" xfId="1" applyFont="1" applyFill="1" applyBorder="1" applyAlignment="1">
      <alignment horizontal="center" vertical="center" wrapText="1"/>
    </xf>
    <xf numFmtId="43" fontId="28" fillId="19" borderId="10" xfId="1" applyFont="1" applyFill="1" applyBorder="1" applyAlignment="1">
      <alignment horizontal="center" vertical="center" wrapText="1"/>
    </xf>
    <xf numFmtId="43" fontId="29" fillId="0" borderId="0" xfId="1" applyFont="1" applyBorder="1"/>
    <xf numFmtId="43" fontId="29" fillId="0" borderId="0" xfId="1" applyFont="1" applyFill="1" applyBorder="1"/>
    <xf numFmtId="0" fontId="28" fillId="11" borderId="0" xfId="0" applyFont="1" applyFill="1" applyBorder="1" applyAlignment="1">
      <alignment horizontal="center" vertical="center" wrapText="1"/>
    </xf>
    <xf numFmtId="0" fontId="29" fillId="0" borderId="10" xfId="0" applyFont="1" applyBorder="1"/>
    <xf numFmtId="0" fontId="29" fillId="0" borderId="0" xfId="0" applyFont="1"/>
    <xf numFmtId="0" fontId="29" fillId="0" borderId="10" xfId="0" applyFont="1" applyBorder="1" applyAlignment="1">
      <alignment horizontal="center" vertical="center" wrapText="1"/>
    </xf>
    <xf numFmtId="16" fontId="29" fillId="0" borderId="0" xfId="0" applyNumberFormat="1" applyFont="1"/>
    <xf numFmtId="2" fontId="35" fillId="0" borderId="0" xfId="1" applyNumberFormat="1" applyFont="1" applyAlignment="1">
      <alignment horizontal="left" vertical="top"/>
    </xf>
    <xf numFmtId="43" fontId="29" fillId="0" borderId="0" xfId="0" applyNumberFormat="1" applyFont="1"/>
    <xf numFmtId="4" fontId="35" fillId="0" borderId="0" xfId="1" applyNumberFormat="1" applyFont="1" applyAlignment="1">
      <alignment horizontal="left" vertical="top"/>
    </xf>
    <xf numFmtId="4" fontId="35" fillId="0" borderId="0" xfId="1" applyNumberFormat="1" applyFont="1" applyBorder="1" applyAlignment="1">
      <alignment horizontal="left" vertical="top"/>
    </xf>
    <xf numFmtId="2" fontId="35" fillId="0" borderId="0" xfId="1" applyNumberFormat="1" applyFont="1" applyBorder="1" applyAlignment="1">
      <alignment horizontal="left" vertical="top"/>
    </xf>
    <xf numFmtId="1" fontId="28" fillId="11" borderId="0" xfId="0" applyNumberFormat="1" applyFont="1" applyFill="1" applyBorder="1" applyAlignment="1">
      <alignment horizontal="center" wrapText="1"/>
    </xf>
    <xf numFmtId="1" fontId="28" fillId="11" borderId="0" xfId="0" applyNumberFormat="1" applyFont="1" applyFill="1" applyBorder="1" applyAlignment="1">
      <alignment horizontal="center" vertical="center" wrapText="1"/>
    </xf>
    <xf numFmtId="43" fontId="29" fillId="0" borderId="0" xfId="1" applyFont="1" applyFill="1" applyBorder="1" applyAlignment="1">
      <alignment horizontal="center" vertical="center"/>
    </xf>
    <xf numFmtId="43" fontId="36" fillId="0" borderId="0" xfId="1" applyFont="1" applyFill="1" applyBorder="1" applyAlignment="1">
      <alignment horizontal="center" vertical="center"/>
    </xf>
    <xf numFmtId="43" fontId="28" fillId="11" borderId="0" xfId="1" applyFont="1" applyFill="1" applyBorder="1" applyAlignment="1">
      <alignment horizontal="center" vertical="center" wrapText="1"/>
    </xf>
    <xf numFmtId="43" fontId="35" fillId="0" borderId="0" xfId="1" applyFont="1" applyBorder="1" applyAlignment="1">
      <alignment horizontal="left" vertical="top"/>
    </xf>
    <xf numFmtId="43" fontId="37" fillId="0" borderId="10" xfId="1" applyFont="1" applyBorder="1" applyAlignment="1">
      <alignment horizontal="left" vertical="top"/>
    </xf>
    <xf numFmtId="0" fontId="29" fillId="0" borderId="0" xfId="0" applyFont="1" applyAlignment="1">
      <alignment horizontal="center"/>
    </xf>
    <xf numFmtId="0" fontId="29" fillId="0" borderId="0" xfId="0" applyFont="1" applyBorder="1"/>
    <xf numFmtId="43" fontId="37" fillId="0" borderId="11" xfId="1" applyFont="1" applyBorder="1" applyAlignment="1">
      <alignment horizontal="left" vertical="top"/>
    </xf>
    <xf numFmtId="43" fontId="37" fillId="0" borderId="37" xfId="1" applyFont="1" applyBorder="1" applyAlignment="1">
      <alignment horizontal="left" vertical="top"/>
    </xf>
    <xf numFmtId="0" fontId="38" fillId="0" borderId="26" xfId="0" applyFont="1" applyBorder="1" applyAlignment="1">
      <alignment horizontal="center"/>
    </xf>
    <xf numFmtId="0" fontId="38" fillId="0" borderId="29" xfId="0" applyFont="1" applyBorder="1" applyAlignment="1">
      <alignment horizontal="center"/>
    </xf>
    <xf numFmtId="43" fontId="28" fillId="15" borderId="58" xfId="1" applyFont="1" applyFill="1" applyBorder="1" applyAlignment="1">
      <alignment horizontal="center" vertical="center" wrapText="1"/>
    </xf>
    <xf numFmtId="43" fontId="28" fillId="15" borderId="59" xfId="1" applyFont="1" applyFill="1" applyBorder="1" applyAlignment="1">
      <alignment horizontal="center" vertical="center" wrapText="1"/>
    </xf>
    <xf numFmtId="43" fontId="28" fillId="19" borderId="59" xfId="1" applyFont="1" applyFill="1" applyBorder="1" applyAlignment="1">
      <alignment horizontal="center" vertical="center" wrapText="1"/>
    </xf>
    <xf numFmtId="43" fontId="28" fillId="15" borderId="6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7" fillId="4" borderId="11" xfId="1" applyFont="1" applyFill="1" applyBorder="1" applyAlignment="1">
      <alignment horizontal="center" vertical="center"/>
    </xf>
    <xf numFmtId="43" fontId="3" fillId="17" borderId="14" xfId="1" applyFont="1" applyFill="1" applyBorder="1" applyAlignment="1">
      <alignment horizontal="center" vertical="center"/>
    </xf>
    <xf numFmtId="43" fontId="3" fillId="0" borderId="19" xfId="1" applyFont="1" applyBorder="1" applyAlignment="1">
      <alignment horizontal="center" vertical="center"/>
    </xf>
    <xf numFmtId="170" fontId="29" fillId="0" borderId="0" xfId="1" applyNumberFormat="1" applyFont="1" applyBorder="1"/>
    <xf numFmtId="170" fontId="29" fillId="0" borderId="0" xfId="0" applyNumberFormat="1" applyFont="1" applyBorder="1"/>
    <xf numFmtId="170" fontId="29" fillId="0" borderId="0" xfId="0" applyNumberFormat="1" applyFont="1"/>
    <xf numFmtId="170" fontId="29" fillId="0" borderId="0" xfId="1" applyNumberFormat="1" applyFont="1" applyAlignment="1">
      <alignment horizontal="right"/>
    </xf>
    <xf numFmtId="170" fontId="29" fillId="0" borderId="0" xfId="1" applyNumberFormat="1" applyFont="1"/>
    <xf numFmtId="43" fontId="35" fillId="0" borderId="0" xfId="1" applyFont="1" applyFill="1" applyBorder="1" applyAlignment="1">
      <alignment horizontal="center" vertical="center"/>
    </xf>
    <xf numFmtId="43" fontId="35" fillId="0" borderId="0" xfId="1" applyFont="1" applyFill="1" applyBorder="1"/>
    <xf numFmtId="43" fontId="35" fillId="0" borderId="0" xfId="1" applyFont="1" applyFill="1" applyBorder="1" applyAlignment="1">
      <alignment horizontal="center" vertical="center" wrapText="1"/>
    </xf>
    <xf numFmtId="43" fontId="28" fillId="15" borderId="52" xfId="1" applyFont="1" applyFill="1" applyBorder="1" applyAlignment="1">
      <alignment horizontal="center" vertical="center" wrapText="1"/>
    </xf>
    <xf numFmtId="43" fontId="7" fillId="5" borderId="67" xfId="1" applyFont="1" applyFill="1" applyBorder="1" applyAlignment="1">
      <alignment horizontal="center" vertical="center"/>
    </xf>
    <xf numFmtId="43" fontId="7" fillId="5" borderId="76" xfId="1" applyFont="1" applyFill="1" applyBorder="1" applyAlignment="1">
      <alignment horizontal="center" vertical="center"/>
    </xf>
    <xf numFmtId="43" fontId="7" fillId="5" borderId="44" xfId="1" applyFont="1" applyFill="1" applyBorder="1" applyAlignment="1">
      <alignment horizontal="center" vertical="center"/>
    </xf>
    <xf numFmtId="43" fontId="7" fillId="5" borderId="71" xfId="1" applyFont="1" applyFill="1" applyBorder="1" applyAlignment="1">
      <alignment horizontal="center" vertical="center"/>
    </xf>
    <xf numFmtId="43" fontId="7" fillId="5" borderId="72" xfId="1" applyFont="1" applyFill="1" applyBorder="1" applyAlignment="1">
      <alignment horizontal="center" vertical="center"/>
    </xf>
    <xf numFmtId="43" fontId="7" fillId="5" borderId="45" xfId="1" applyFont="1" applyFill="1" applyBorder="1" applyAlignment="1">
      <alignment horizontal="center" vertical="center"/>
    </xf>
    <xf numFmtId="43" fontId="7" fillId="5" borderId="58" xfId="1" applyFont="1" applyFill="1" applyBorder="1" applyAlignment="1">
      <alignment horizontal="center" vertical="center"/>
    </xf>
    <xf numFmtId="43" fontId="7" fillId="5" borderId="59" xfId="1" applyFont="1" applyFill="1" applyBorder="1" applyAlignment="1">
      <alignment horizontal="center" vertical="center"/>
    </xf>
    <xf numFmtId="43" fontId="7" fillId="5" borderId="60" xfId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7" fillId="51" borderId="4" xfId="0" applyFont="1" applyFill="1" applyBorder="1" applyAlignment="1">
      <alignment horizontal="center" vertical="center" wrapText="1"/>
    </xf>
    <xf numFmtId="0" fontId="47" fillId="51" borderId="6" xfId="0" applyFont="1" applyFill="1" applyBorder="1" applyAlignment="1">
      <alignment horizontal="center" vertical="center" wrapText="1"/>
    </xf>
    <xf numFmtId="0" fontId="47" fillId="51" borderId="9" xfId="0" applyFont="1" applyFill="1" applyBorder="1" applyAlignment="1">
      <alignment horizontal="center" vertical="center" wrapText="1"/>
    </xf>
    <xf numFmtId="0" fontId="47" fillId="51" borderId="11" xfId="0" applyFont="1" applyFill="1" applyBorder="1" applyAlignment="1">
      <alignment horizontal="center" vertical="center" wrapText="1"/>
    </xf>
    <xf numFmtId="0" fontId="47" fillId="51" borderId="17" xfId="0" applyFont="1" applyFill="1" applyBorder="1" applyAlignment="1">
      <alignment horizontal="center" vertical="center" wrapText="1"/>
    </xf>
    <xf numFmtId="0" fontId="47" fillId="51" borderId="19" xfId="0" applyFont="1" applyFill="1" applyBorder="1" applyAlignment="1">
      <alignment horizontal="center" vertical="center" wrapText="1"/>
    </xf>
    <xf numFmtId="0" fontId="47" fillId="27" borderId="4" xfId="0" applyFont="1" applyFill="1" applyBorder="1" applyAlignment="1">
      <alignment horizontal="center" vertical="center" wrapText="1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9" xfId="0" applyFont="1" applyFill="1" applyBorder="1" applyAlignment="1">
      <alignment horizontal="center" vertical="center" wrapText="1"/>
    </xf>
    <xf numFmtId="0" fontId="47" fillId="27" borderId="11" xfId="0" applyFont="1" applyFill="1" applyBorder="1" applyAlignment="1">
      <alignment horizontal="center" vertical="center" wrapText="1"/>
    </xf>
    <xf numFmtId="0" fontId="47" fillId="27" borderId="43" xfId="0" applyFont="1" applyFill="1" applyBorder="1" applyAlignment="1">
      <alignment horizontal="center" vertical="center" wrapText="1"/>
    </xf>
    <xf numFmtId="0" fontId="47" fillId="27" borderId="75" xfId="0" applyFont="1" applyFill="1" applyBorder="1" applyAlignment="1">
      <alignment horizontal="center" vertical="center" wrapText="1"/>
    </xf>
    <xf numFmtId="0" fontId="47" fillId="46" borderId="4" xfId="0" applyFont="1" applyFill="1" applyBorder="1" applyAlignment="1">
      <alignment horizontal="center" vertical="center" wrapText="1"/>
    </xf>
    <xf numFmtId="0" fontId="47" fillId="46" borderId="6" xfId="0" applyFont="1" applyFill="1" applyBorder="1" applyAlignment="1">
      <alignment horizontal="center" vertical="center" wrapText="1"/>
    </xf>
    <xf numFmtId="0" fontId="47" fillId="54" borderId="4" xfId="0" applyFont="1" applyFill="1" applyBorder="1" applyAlignment="1">
      <alignment horizontal="left" vertical="center" wrapText="1"/>
    </xf>
    <xf numFmtId="0" fontId="47" fillId="54" borderId="9" xfId="0" applyFont="1" applyFill="1" applyBorder="1" applyAlignment="1">
      <alignment horizontal="left" vertical="center" wrapText="1"/>
    </xf>
    <xf numFmtId="0" fontId="47" fillId="54" borderId="17" xfId="0" applyFont="1" applyFill="1" applyBorder="1" applyAlignment="1">
      <alignment horizontal="left" vertical="center" wrapText="1"/>
    </xf>
    <xf numFmtId="0" fontId="47" fillId="4" borderId="4" xfId="0" applyFont="1" applyFill="1" applyBorder="1" applyAlignment="1">
      <alignment horizontal="center" vertical="center" wrapText="1"/>
    </xf>
    <xf numFmtId="0" fontId="47" fillId="4" borderId="6" xfId="0" applyFont="1" applyFill="1" applyBorder="1" applyAlignment="1">
      <alignment horizontal="center" vertical="center" wrapText="1"/>
    </xf>
    <xf numFmtId="0" fontId="47" fillId="4" borderId="9" xfId="0" applyFont="1" applyFill="1" applyBorder="1" applyAlignment="1">
      <alignment horizontal="center" vertical="center" wrapText="1"/>
    </xf>
    <xf numFmtId="0" fontId="47" fillId="4" borderId="11" xfId="0" applyFont="1" applyFill="1" applyBorder="1" applyAlignment="1">
      <alignment horizontal="center" vertical="center" wrapText="1"/>
    </xf>
    <xf numFmtId="0" fontId="47" fillId="4" borderId="17" xfId="0" applyFont="1" applyFill="1" applyBorder="1" applyAlignment="1">
      <alignment horizontal="center" vertical="center" wrapText="1"/>
    </xf>
    <xf numFmtId="0" fontId="47" fillId="4" borderId="19" xfId="0" applyFont="1" applyFill="1" applyBorder="1" applyAlignment="1">
      <alignment horizontal="center" vertical="center" wrapText="1"/>
    </xf>
    <xf numFmtId="0" fontId="47" fillId="8" borderId="4" xfId="0" applyFont="1" applyFill="1" applyBorder="1" applyAlignment="1">
      <alignment horizontal="center" vertical="center" wrapText="1"/>
    </xf>
    <xf numFmtId="0" fontId="47" fillId="8" borderId="6" xfId="0" applyFont="1" applyFill="1" applyBorder="1" applyAlignment="1">
      <alignment horizontal="center" vertical="center" wrapText="1"/>
    </xf>
    <xf numFmtId="0" fontId="47" fillId="8" borderId="9" xfId="0" applyFont="1" applyFill="1" applyBorder="1" applyAlignment="1">
      <alignment horizontal="center" vertical="center" wrapText="1"/>
    </xf>
    <xf numFmtId="0" fontId="47" fillId="8" borderId="11" xfId="0" applyFont="1" applyFill="1" applyBorder="1" applyAlignment="1">
      <alignment horizontal="center" vertical="center" wrapText="1"/>
    </xf>
    <xf numFmtId="0" fontId="47" fillId="8" borderId="17" xfId="0" applyFont="1" applyFill="1" applyBorder="1" applyAlignment="1">
      <alignment horizontal="center" vertical="center" wrapText="1"/>
    </xf>
    <xf numFmtId="0" fontId="47" fillId="8" borderId="19" xfId="0" applyFont="1" applyFill="1" applyBorder="1" applyAlignment="1">
      <alignment horizontal="center" vertical="center" wrapText="1"/>
    </xf>
    <xf numFmtId="0" fontId="47" fillId="35" borderId="9" xfId="0" applyFont="1" applyFill="1" applyBorder="1" applyAlignment="1">
      <alignment horizontal="left" vertical="center" wrapText="1"/>
    </xf>
    <xf numFmtId="0" fontId="47" fillId="35" borderId="11" xfId="0" applyFont="1" applyFill="1" applyBorder="1" applyAlignment="1">
      <alignment horizontal="left" vertical="center" wrapText="1"/>
    </xf>
    <xf numFmtId="1" fontId="47" fillId="35" borderId="11" xfId="0" applyNumberFormat="1" applyFont="1" applyFill="1" applyBorder="1" applyAlignment="1">
      <alignment horizontal="left" vertical="center" wrapText="1"/>
    </xf>
    <xf numFmtId="0" fontId="47" fillId="35" borderId="17" xfId="0" applyFont="1" applyFill="1" applyBorder="1" applyAlignment="1">
      <alignment horizontal="left" vertical="center" wrapText="1"/>
    </xf>
    <xf numFmtId="1" fontId="47" fillId="35" borderId="19" xfId="0" applyNumberFormat="1" applyFont="1" applyFill="1" applyBorder="1" applyAlignment="1">
      <alignment horizontal="left" vertical="center" wrapText="1"/>
    </xf>
    <xf numFmtId="0" fontId="47" fillId="35" borderId="4" xfId="0" applyFont="1" applyFill="1" applyBorder="1" applyAlignment="1">
      <alignment horizontal="left" vertical="center" wrapText="1"/>
    </xf>
    <xf numFmtId="0" fontId="47" fillId="35" borderId="6" xfId="0" applyFont="1" applyFill="1" applyBorder="1" applyAlignment="1">
      <alignment horizontal="left" vertical="center" wrapText="1"/>
    </xf>
    <xf numFmtId="0" fontId="46" fillId="52" borderId="4" xfId="0" applyFont="1" applyFill="1" applyBorder="1" applyAlignment="1">
      <alignment horizontal="left" vertical="center" wrapText="1"/>
    </xf>
    <xf numFmtId="0" fontId="46" fillId="52" borderId="9" xfId="0" applyFont="1" applyFill="1" applyBorder="1" applyAlignment="1">
      <alignment horizontal="left" vertical="center" wrapText="1"/>
    </xf>
    <xf numFmtId="0" fontId="46" fillId="52" borderId="11" xfId="0" applyFont="1" applyFill="1" applyBorder="1" applyAlignment="1">
      <alignment horizontal="left" vertical="center" wrapText="1"/>
    </xf>
    <xf numFmtId="0" fontId="46" fillId="52" borderId="43" xfId="0" applyFont="1" applyFill="1" applyBorder="1" applyAlignment="1">
      <alignment horizontal="left" vertical="center" wrapText="1"/>
    </xf>
    <xf numFmtId="0" fontId="46" fillId="52" borderId="75" xfId="0" applyFont="1" applyFill="1" applyBorder="1" applyAlignment="1">
      <alignment horizontal="left" vertical="center" wrapText="1"/>
    </xf>
    <xf numFmtId="0" fontId="0" fillId="30" borderId="0" xfId="0" applyFill="1" applyBorder="1"/>
    <xf numFmtId="169" fontId="2" fillId="36" borderId="12" xfId="0" applyNumberFormat="1" applyFont="1" applyFill="1" applyBorder="1"/>
    <xf numFmtId="169" fontId="2" fillId="36" borderId="38" xfId="0" applyNumberFormat="1" applyFont="1" applyFill="1" applyBorder="1"/>
    <xf numFmtId="169" fontId="40" fillId="38" borderId="68" xfId="0" applyNumberFormat="1" applyFont="1" applyFill="1" applyBorder="1"/>
    <xf numFmtId="166" fontId="13" fillId="16" borderId="3" xfId="3" applyNumberFormat="1" applyFont="1" applyFill="1" applyBorder="1" applyAlignment="1">
      <alignment horizontal="center" vertical="center"/>
    </xf>
    <xf numFmtId="166" fontId="13" fillId="16" borderId="8" xfId="3" applyNumberFormat="1" applyFont="1" applyFill="1" applyBorder="1" applyAlignment="1">
      <alignment horizontal="center" vertical="center"/>
    </xf>
    <xf numFmtId="166" fontId="13" fillId="16" borderId="14" xfId="3" applyNumberFormat="1" applyFont="1" applyFill="1" applyBorder="1" applyAlignment="1">
      <alignment horizontal="center" vertical="center"/>
    </xf>
    <xf numFmtId="9" fontId="13" fillId="16" borderId="26" xfId="2" applyFont="1" applyFill="1" applyBorder="1" applyAlignment="1">
      <alignment horizontal="center" vertical="center"/>
    </xf>
    <xf numFmtId="43" fontId="24" fillId="16" borderId="17" xfId="1" applyFont="1" applyFill="1" applyBorder="1" applyAlignment="1">
      <alignment horizontal="center" vertical="center"/>
    </xf>
    <xf numFmtId="43" fontId="24" fillId="16" borderId="24" xfId="1" applyFont="1" applyFill="1" applyBorder="1" applyAlignment="1">
      <alignment horizontal="center" vertical="center"/>
    </xf>
    <xf numFmtId="43" fontId="24" fillId="16" borderId="27" xfId="1" applyFont="1" applyFill="1" applyBorder="1" applyAlignment="1">
      <alignment horizontal="center" vertical="center"/>
    </xf>
    <xf numFmtId="43" fontId="24" fillId="35" borderId="27" xfId="1" applyFont="1" applyFill="1" applyBorder="1" applyAlignment="1">
      <alignment horizontal="center" vertical="center"/>
    </xf>
    <xf numFmtId="43" fontId="24" fillId="35" borderId="30" xfId="1" applyFont="1" applyFill="1" applyBorder="1" applyAlignment="1">
      <alignment horizontal="center" vertical="center"/>
    </xf>
    <xf numFmtId="43" fontId="0" fillId="0" borderId="4" xfId="1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43" fontId="0" fillId="0" borderId="6" xfId="1" applyFont="1" applyFill="1" applyBorder="1" applyAlignment="1">
      <alignment horizontal="center" vertical="center"/>
    </xf>
    <xf numFmtId="43" fontId="0" fillId="0" borderId="17" xfId="1" applyFont="1" applyFill="1" applyBorder="1" applyAlignment="1">
      <alignment horizontal="center" vertical="center"/>
    </xf>
    <xf numFmtId="43" fontId="0" fillId="0" borderId="18" xfId="1" applyFont="1" applyFill="1" applyBorder="1" applyAlignment="1">
      <alignment horizontal="center" vertical="center"/>
    </xf>
    <xf numFmtId="43" fontId="0" fillId="0" borderId="19" xfId="1" applyFont="1" applyFill="1" applyBorder="1" applyAlignment="1">
      <alignment horizontal="center" vertical="center"/>
    </xf>
    <xf numFmtId="43" fontId="0" fillId="0" borderId="48" xfId="1" applyFont="1" applyBorder="1" applyAlignment="1">
      <alignment horizontal="center" vertical="center"/>
    </xf>
    <xf numFmtId="43" fontId="0" fillId="0" borderId="61" xfId="1" applyFont="1" applyBorder="1" applyAlignment="1">
      <alignment horizontal="center" vertical="center"/>
    </xf>
    <xf numFmtId="43" fontId="0" fillId="0" borderId="35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43" xfId="1" applyFont="1" applyBorder="1" applyAlignment="1">
      <alignment horizontal="center" vertical="center"/>
    </xf>
    <xf numFmtId="43" fontId="0" fillId="0" borderId="50" xfId="1" applyFont="1" applyBorder="1" applyAlignment="1">
      <alignment horizontal="center" vertical="center"/>
    </xf>
    <xf numFmtId="43" fontId="0" fillId="0" borderId="75" xfId="1" applyFont="1" applyBorder="1" applyAlignment="1">
      <alignment horizontal="center" vertical="center"/>
    </xf>
    <xf numFmtId="43" fontId="0" fillId="0" borderId="9" xfId="1" applyFont="1" applyFill="1" applyBorder="1" applyAlignment="1">
      <alignment horizontal="center" vertical="center"/>
    </xf>
    <xf numFmtId="43" fontId="0" fillId="0" borderId="10" xfId="1" applyFont="1" applyFill="1" applyBorder="1" applyAlignment="1">
      <alignment horizontal="center" vertical="center"/>
    </xf>
    <xf numFmtId="43" fontId="0" fillId="0" borderId="11" xfId="1" applyFont="1" applyFill="1" applyBorder="1" applyAlignment="1">
      <alignment horizontal="center" vertical="center"/>
    </xf>
    <xf numFmtId="43" fontId="0" fillId="0" borderId="48" xfId="1" applyFont="1" applyFill="1" applyBorder="1" applyAlignment="1">
      <alignment horizontal="center" vertical="center"/>
    </xf>
    <xf numFmtId="43" fontId="0" fillId="0" borderId="61" xfId="1" applyFont="1" applyFill="1" applyBorder="1" applyAlignment="1">
      <alignment horizontal="center" vertical="center"/>
    </xf>
    <xf numFmtId="43" fontId="0" fillId="11" borderId="10" xfId="1" applyFont="1" applyFill="1" applyBorder="1" applyAlignment="1">
      <alignment horizontal="center" vertical="center"/>
    </xf>
    <xf numFmtId="43" fontId="0" fillId="0" borderId="43" xfId="1" applyFont="1" applyFill="1" applyBorder="1" applyAlignment="1">
      <alignment horizontal="center" vertical="center"/>
    </xf>
    <xf numFmtId="43" fontId="0" fillId="0" borderId="50" xfId="1" applyFont="1" applyFill="1" applyBorder="1" applyAlignment="1">
      <alignment horizontal="center" vertical="center"/>
    </xf>
    <xf numFmtId="43" fontId="0" fillId="11" borderId="50" xfId="1" applyFont="1" applyFill="1" applyBorder="1" applyAlignment="1">
      <alignment horizontal="center" vertical="center"/>
    </xf>
    <xf numFmtId="43" fontId="37" fillId="11" borderId="9" xfId="1" applyFont="1" applyFill="1" applyBorder="1" applyAlignment="1">
      <alignment horizontal="center" vertical="center"/>
    </xf>
    <xf numFmtId="43" fontId="37" fillId="11" borderId="10" xfId="1" applyFont="1" applyFill="1" applyBorder="1" applyAlignment="1">
      <alignment horizontal="center" vertical="center"/>
    </xf>
    <xf numFmtId="43" fontId="37" fillId="11" borderId="11" xfId="1" applyFont="1" applyFill="1" applyBorder="1" applyAlignment="1">
      <alignment horizontal="center" vertical="center"/>
    </xf>
    <xf numFmtId="43" fontId="37" fillId="11" borderId="43" xfId="1" applyFont="1" applyFill="1" applyBorder="1" applyAlignment="1">
      <alignment horizontal="center" vertical="center"/>
    </xf>
    <xf numFmtId="43" fontId="37" fillId="11" borderId="50" xfId="1" applyFont="1" applyFill="1" applyBorder="1" applyAlignment="1">
      <alignment horizontal="center" vertical="center"/>
    </xf>
    <xf numFmtId="43" fontId="37" fillId="11" borderId="75" xfId="1" applyFont="1" applyFill="1" applyBorder="1" applyAlignment="1">
      <alignment horizontal="center" vertical="center"/>
    </xf>
    <xf numFmtId="43" fontId="37" fillId="11" borderId="17" xfId="1" applyFont="1" applyFill="1" applyBorder="1" applyAlignment="1">
      <alignment horizontal="center" vertical="center"/>
    </xf>
    <xf numFmtId="43" fontId="37" fillId="11" borderId="18" xfId="1" applyFont="1" applyFill="1" applyBorder="1" applyAlignment="1">
      <alignment horizontal="center" vertical="center"/>
    </xf>
    <xf numFmtId="43" fontId="37" fillId="11" borderId="19" xfId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71" fontId="2" fillId="45" borderId="43" xfId="1" applyNumberFormat="1" applyFont="1" applyFill="1" applyBorder="1" applyAlignment="1">
      <alignment horizontal="center" vertical="center"/>
    </xf>
    <xf numFmtId="171" fontId="2" fillId="45" borderId="50" xfId="1" applyNumberFormat="1" applyFont="1" applyFill="1" applyBorder="1" applyAlignment="1">
      <alignment horizontal="center" vertical="center"/>
    </xf>
    <xf numFmtId="171" fontId="2" fillId="45" borderId="75" xfId="1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0" fontId="4" fillId="16" borderId="3" xfId="0" applyFont="1" applyFill="1" applyBorder="1" applyAlignment="1">
      <alignment vertical="center"/>
    </xf>
    <xf numFmtId="166" fontId="13" fillId="16" borderId="25" xfId="3" applyNumberFormat="1" applyFont="1" applyFill="1" applyBorder="1" applyAlignment="1">
      <alignment horizontal="center" vertical="center"/>
    </xf>
    <xf numFmtId="0" fontId="4" fillId="16" borderId="33" xfId="0" applyFont="1" applyFill="1" applyBorder="1" applyAlignment="1">
      <alignment vertical="center"/>
    </xf>
    <xf numFmtId="0" fontId="4" fillId="16" borderId="36" xfId="0" applyFont="1" applyFill="1" applyBorder="1" applyAlignment="1">
      <alignment vertical="center"/>
    </xf>
    <xf numFmtId="0" fontId="4" fillId="16" borderId="41" xfId="0" applyFont="1" applyFill="1" applyBorder="1" applyAlignment="1">
      <alignment vertical="center"/>
    </xf>
    <xf numFmtId="0" fontId="4" fillId="16" borderId="14" xfId="0" applyFont="1" applyFill="1" applyBorder="1" applyAlignment="1">
      <alignment vertical="center"/>
    </xf>
    <xf numFmtId="43" fontId="0" fillId="0" borderId="75" xfId="1" applyFont="1" applyFill="1" applyBorder="1" applyAlignment="1">
      <alignment horizontal="center" vertical="center"/>
    </xf>
    <xf numFmtId="43" fontId="0" fillId="0" borderId="35" xfId="1" applyFont="1" applyFill="1" applyBorder="1" applyAlignment="1">
      <alignment horizontal="center" vertical="center"/>
    </xf>
    <xf numFmtId="43" fontId="24" fillId="16" borderId="25" xfId="1" applyFont="1" applyFill="1" applyBorder="1" applyAlignment="1">
      <alignment horizontal="center" vertical="center"/>
    </xf>
    <xf numFmtId="169" fontId="2" fillId="36" borderId="49" xfId="0" applyNumberFormat="1" applyFont="1" applyFill="1" applyBorder="1"/>
    <xf numFmtId="43" fontId="24" fillId="16" borderId="31" xfId="1" applyFont="1" applyFill="1" applyBorder="1" applyAlignment="1">
      <alignment horizontal="center" vertical="center"/>
    </xf>
    <xf numFmtId="43" fontId="3" fillId="56" borderId="5" xfId="1" applyFont="1" applyFill="1" applyBorder="1" applyAlignment="1">
      <alignment horizontal="center" vertical="center"/>
    </xf>
    <xf numFmtId="43" fontId="3" fillId="56" borderId="10" xfId="1" applyFont="1" applyFill="1" applyBorder="1" applyAlignment="1">
      <alignment horizontal="center" vertical="center"/>
    </xf>
    <xf numFmtId="43" fontId="0" fillId="56" borderId="48" xfId="1" applyFont="1" applyFill="1" applyBorder="1" applyAlignment="1">
      <alignment horizontal="center" vertical="center"/>
    </xf>
    <xf numFmtId="43" fontId="0" fillId="56" borderId="61" xfId="1" applyFont="1" applyFill="1" applyBorder="1" applyAlignment="1">
      <alignment horizontal="center" vertical="center"/>
    </xf>
    <xf numFmtId="0" fontId="24" fillId="16" borderId="28" xfId="0" applyFont="1" applyFill="1" applyBorder="1" applyAlignment="1">
      <alignment horizontal="left"/>
    </xf>
    <xf numFmtId="0" fontId="24" fillId="16" borderId="55" xfId="0" applyFont="1" applyFill="1" applyBorder="1" applyAlignment="1">
      <alignment horizontal="left"/>
    </xf>
    <xf numFmtId="43" fontId="0" fillId="0" borderId="6" xfId="1" applyFont="1" applyBorder="1" applyAlignment="1">
      <alignment horizontal="center" vertical="center"/>
    </xf>
    <xf numFmtId="43" fontId="0" fillId="11" borderId="18" xfId="1" applyFont="1" applyFill="1" applyBorder="1" applyAlignment="1">
      <alignment horizontal="center" vertical="center"/>
    </xf>
    <xf numFmtId="43" fontId="0" fillId="0" borderId="19" xfId="1" applyFont="1" applyBorder="1" applyAlignment="1">
      <alignment horizontal="center" vertical="center"/>
    </xf>
    <xf numFmtId="16" fontId="22" fillId="4" borderId="68" xfId="1" applyNumberFormat="1" applyFont="1" applyFill="1" applyBorder="1" applyAlignment="1">
      <alignment horizontal="center" vertical="center"/>
    </xf>
    <xf numFmtId="43" fontId="0" fillId="4" borderId="48" xfId="1" applyFont="1" applyFill="1" applyBorder="1" applyAlignment="1">
      <alignment horizontal="center" vertical="center"/>
    </xf>
    <xf numFmtId="43" fontId="0" fillId="4" borderId="61" xfId="1" applyFont="1" applyFill="1" applyBorder="1" applyAlignment="1">
      <alignment horizontal="center" vertical="center"/>
    </xf>
    <xf numFmtId="43" fontId="0" fillId="4" borderId="9" xfId="1" applyFont="1" applyFill="1" applyBorder="1" applyAlignment="1">
      <alignment horizontal="center" vertical="center"/>
    </xf>
    <xf numFmtId="43" fontId="0" fillId="4" borderId="10" xfId="1" applyFont="1" applyFill="1" applyBorder="1" applyAlignment="1">
      <alignment horizontal="center" vertical="center"/>
    </xf>
    <xf numFmtId="43" fontId="0" fillId="4" borderId="43" xfId="1" applyFont="1" applyFill="1" applyBorder="1" applyAlignment="1">
      <alignment horizontal="center" vertical="center"/>
    </xf>
    <xf numFmtId="43" fontId="0" fillId="4" borderId="50" xfId="1" applyFont="1" applyFill="1" applyBorder="1" applyAlignment="1">
      <alignment horizontal="center" vertical="center"/>
    </xf>
    <xf numFmtId="43" fontId="0" fillId="28" borderId="4" xfId="1" applyFont="1" applyFill="1" applyBorder="1" applyAlignment="1">
      <alignment horizontal="center" vertical="center"/>
    </xf>
    <xf numFmtId="43" fontId="0" fillId="28" borderId="5" xfId="1" applyFont="1" applyFill="1" applyBorder="1" applyAlignment="1">
      <alignment horizontal="center" vertical="center"/>
    </xf>
    <xf numFmtId="43" fontId="0" fillId="28" borderId="6" xfId="1" applyFont="1" applyFill="1" applyBorder="1" applyAlignment="1">
      <alignment horizontal="center" vertical="center"/>
    </xf>
    <xf numFmtId="43" fontId="0" fillId="28" borderId="17" xfId="1" applyFont="1" applyFill="1" applyBorder="1" applyAlignment="1">
      <alignment horizontal="center" vertical="center"/>
    </xf>
    <xf numFmtId="43" fontId="0" fillId="28" borderId="18" xfId="1" applyFont="1" applyFill="1" applyBorder="1" applyAlignment="1">
      <alignment horizontal="center" vertical="center"/>
    </xf>
    <xf numFmtId="43" fontId="0" fillId="28" borderId="19" xfId="1" applyFont="1" applyFill="1" applyBorder="1" applyAlignment="1">
      <alignment horizontal="center" vertical="center"/>
    </xf>
    <xf numFmtId="43" fontId="0" fillId="27" borderId="48" xfId="1" applyFont="1" applyFill="1" applyBorder="1" applyAlignment="1">
      <alignment horizontal="center" vertical="center"/>
    </xf>
    <xf numFmtId="43" fontId="0" fillId="27" borderId="61" xfId="1" applyFont="1" applyFill="1" applyBorder="1" applyAlignment="1">
      <alignment horizontal="center" vertical="center"/>
    </xf>
    <xf numFmtId="43" fontId="0" fillId="27" borderId="35" xfId="1" applyFont="1" applyFill="1" applyBorder="1" applyAlignment="1">
      <alignment horizontal="center" vertical="center"/>
    </xf>
    <xf numFmtId="43" fontId="0" fillId="27" borderId="9" xfId="1" applyFont="1" applyFill="1" applyBorder="1" applyAlignment="1">
      <alignment horizontal="center" vertical="center"/>
    </xf>
    <xf numFmtId="43" fontId="0" fillId="27" borderId="10" xfId="1" applyFont="1" applyFill="1" applyBorder="1" applyAlignment="1">
      <alignment horizontal="center" vertical="center"/>
    </xf>
    <xf numFmtId="43" fontId="0" fillId="27" borderId="11" xfId="1" applyFont="1" applyFill="1" applyBorder="1" applyAlignment="1">
      <alignment horizontal="center" vertical="center"/>
    </xf>
    <xf numFmtId="43" fontId="0" fillId="27" borderId="43" xfId="1" applyFont="1" applyFill="1" applyBorder="1" applyAlignment="1">
      <alignment horizontal="center" vertical="center"/>
    </xf>
    <xf numFmtId="43" fontId="0" fillId="27" borderId="50" xfId="1" applyFont="1" applyFill="1" applyBorder="1" applyAlignment="1">
      <alignment horizontal="center" vertical="center"/>
    </xf>
    <xf numFmtId="43" fontId="0" fillId="27" borderId="75" xfId="1" applyFont="1" applyFill="1" applyBorder="1" applyAlignment="1">
      <alignment horizontal="center" vertical="center"/>
    </xf>
    <xf numFmtId="43" fontId="0" fillId="0" borderId="67" xfId="1" applyFont="1" applyFill="1" applyBorder="1" applyAlignment="1">
      <alignment horizontal="center" vertical="center"/>
    </xf>
    <xf numFmtId="43" fontId="0" fillId="0" borderId="76" xfId="1" applyFont="1" applyFill="1" applyBorder="1" applyAlignment="1">
      <alignment horizontal="center" vertical="center"/>
    </xf>
    <xf numFmtId="43" fontId="0" fillId="11" borderId="76" xfId="1" applyFont="1" applyFill="1" applyBorder="1" applyAlignment="1">
      <alignment horizontal="center" vertical="center"/>
    </xf>
    <xf numFmtId="43" fontId="0" fillId="0" borderId="44" xfId="1" applyFont="1" applyBorder="1" applyAlignment="1">
      <alignment horizontal="center" vertical="center"/>
    </xf>
    <xf numFmtId="0" fontId="47" fillId="46" borderId="9" xfId="0" applyFont="1" applyFill="1" applyBorder="1" applyAlignment="1">
      <alignment horizontal="center" vertical="center" wrapText="1"/>
    </xf>
    <xf numFmtId="0" fontId="47" fillId="46" borderId="17" xfId="0" applyFont="1" applyFill="1" applyBorder="1" applyAlignment="1">
      <alignment horizontal="center" vertical="center" wrapText="1"/>
    </xf>
    <xf numFmtId="0" fontId="47" fillId="46" borderId="19" xfId="0" applyFont="1" applyFill="1" applyBorder="1" applyAlignment="1">
      <alignment horizontal="center" vertical="center" wrapText="1"/>
    </xf>
    <xf numFmtId="3" fontId="47" fillId="46" borderId="11" xfId="0" applyNumberFormat="1" applyFont="1" applyFill="1" applyBorder="1" applyAlignment="1">
      <alignment horizontal="center" vertical="center" wrapText="1"/>
    </xf>
    <xf numFmtId="0" fontId="46" fillId="52" borderId="75" xfId="0" applyFont="1" applyFill="1" applyBorder="1" applyAlignment="1">
      <alignment horizontal="center" vertical="center" wrapText="1"/>
    </xf>
    <xf numFmtId="0" fontId="46" fillId="52" borderId="6" xfId="0" applyFont="1" applyFill="1" applyBorder="1" applyAlignment="1">
      <alignment horizontal="center" vertical="center" wrapText="1"/>
    </xf>
    <xf numFmtId="43" fontId="0" fillId="11" borderId="9" xfId="1" applyFont="1" applyFill="1" applyBorder="1" applyAlignment="1">
      <alignment horizontal="center" vertical="center"/>
    </xf>
    <xf numFmtId="43" fontId="0" fillId="11" borderId="11" xfId="1" applyFont="1" applyFill="1" applyBorder="1" applyAlignment="1">
      <alignment horizontal="center" vertical="center"/>
    </xf>
    <xf numFmtId="1" fontId="47" fillId="54" borderId="11" xfId="0" applyNumberFormat="1" applyFont="1" applyFill="1" applyBorder="1" applyAlignment="1">
      <alignment horizontal="center" vertical="center" wrapText="1"/>
    </xf>
    <xf numFmtId="0" fontId="47" fillId="54" borderId="6" xfId="0" applyFont="1" applyFill="1" applyBorder="1" applyAlignment="1">
      <alignment horizontal="center" vertical="center" wrapText="1"/>
    </xf>
    <xf numFmtId="1" fontId="47" fillId="54" borderId="19" xfId="0" applyNumberFormat="1" applyFont="1" applyFill="1" applyBorder="1" applyAlignment="1">
      <alignment horizontal="center" vertical="center" wrapText="1"/>
    </xf>
    <xf numFmtId="0" fontId="24" fillId="16" borderId="4" xfId="0" applyFont="1" applyFill="1" applyBorder="1" applyAlignment="1"/>
    <xf numFmtId="0" fontId="51" fillId="16" borderId="5" xfId="7" applyFill="1" applyBorder="1" applyAlignment="1"/>
    <xf numFmtId="0" fontId="24" fillId="16" borderId="9" xfId="0" applyFont="1" applyFill="1" applyBorder="1" applyAlignment="1"/>
    <xf numFmtId="0" fontId="24" fillId="16" borderId="10" xfId="0" applyFont="1" applyFill="1" applyBorder="1" applyAlignment="1"/>
    <xf numFmtId="0" fontId="24" fillId="16" borderId="28" xfId="0" applyFont="1" applyFill="1" applyBorder="1" applyAlignment="1"/>
    <xf numFmtId="0" fontId="24" fillId="16" borderId="55" xfId="0" applyFont="1" applyFill="1" applyBorder="1" applyAlignment="1"/>
    <xf numFmtId="0" fontId="51" fillId="16" borderId="10" xfId="7" applyFill="1" applyBorder="1" applyAlignment="1"/>
    <xf numFmtId="0" fontId="24" fillId="16" borderId="43" xfId="0" applyFont="1" applyFill="1" applyBorder="1" applyAlignment="1"/>
    <xf numFmtId="0" fontId="24" fillId="16" borderId="50" xfId="0" applyFont="1" applyFill="1" applyBorder="1" applyAlignment="1"/>
    <xf numFmtId="0" fontId="51" fillId="16" borderId="10" xfId="7" applyFill="1" applyBorder="1" applyAlignment="1">
      <alignment horizontal="left"/>
    </xf>
    <xf numFmtId="0" fontId="23" fillId="11" borderId="10" xfId="0" applyFont="1" applyFill="1" applyBorder="1" applyAlignment="1">
      <alignment horizontal="left"/>
    </xf>
    <xf numFmtId="0" fontId="51" fillId="8" borderId="8" xfId="7" applyFill="1" applyBorder="1" applyAlignment="1">
      <alignment vertical="center"/>
    </xf>
    <xf numFmtId="0" fontId="51" fillId="8" borderId="3" xfId="7" applyFill="1" applyBorder="1" applyAlignment="1">
      <alignment vertical="center"/>
    </xf>
    <xf numFmtId="0" fontId="51" fillId="16" borderId="8" xfId="7" applyFill="1" applyBorder="1" applyAlignment="1">
      <alignment vertical="center"/>
    </xf>
    <xf numFmtId="0" fontId="51" fillId="16" borderId="3" xfId="7" applyFill="1" applyBorder="1" applyAlignment="1">
      <alignment vertical="center"/>
    </xf>
    <xf numFmtId="0" fontId="42" fillId="39" borderId="12" xfId="0" applyFont="1" applyFill="1" applyBorder="1" applyAlignment="1">
      <alignment vertical="center"/>
    </xf>
    <xf numFmtId="0" fontId="42" fillId="39" borderId="14" xfId="0" applyFont="1" applyFill="1" applyBorder="1" applyAlignment="1">
      <alignment vertical="center"/>
    </xf>
    <xf numFmtId="43" fontId="24" fillId="25" borderId="52" xfId="1" applyFont="1" applyFill="1" applyBorder="1" applyAlignment="1">
      <alignment horizontal="center" vertical="center"/>
    </xf>
    <xf numFmtId="43" fontId="24" fillId="25" borderId="9" xfId="1" applyFont="1" applyFill="1" applyBorder="1" applyAlignment="1">
      <alignment horizontal="center" vertical="center"/>
    </xf>
    <xf numFmtId="43" fontId="24" fillId="57" borderId="11" xfId="1" applyFont="1" applyFill="1" applyBorder="1" applyAlignment="1">
      <alignment horizontal="center" vertical="center"/>
    </xf>
    <xf numFmtId="43" fontId="24" fillId="57" borderId="9" xfId="1" applyFont="1" applyFill="1" applyBorder="1" applyAlignment="1">
      <alignment horizontal="center" vertical="center"/>
    </xf>
    <xf numFmtId="43" fontId="0" fillId="28" borderId="10" xfId="1" applyFont="1" applyFill="1" applyBorder="1" applyAlignment="1">
      <alignment horizontal="center" vertical="center"/>
    </xf>
    <xf numFmtId="43" fontId="0" fillId="56" borderId="10" xfId="1" applyFont="1" applyFill="1" applyBorder="1" applyAlignment="1">
      <alignment horizontal="center" vertical="center"/>
    </xf>
    <xf numFmtId="43" fontId="0" fillId="28" borderId="9" xfId="1" applyFont="1" applyFill="1" applyBorder="1" applyAlignment="1">
      <alignment horizontal="center" vertical="center"/>
    </xf>
    <xf numFmtId="43" fontId="0" fillId="28" borderId="11" xfId="1" applyFont="1" applyFill="1" applyBorder="1" applyAlignment="1">
      <alignment horizontal="center" vertical="center"/>
    </xf>
    <xf numFmtId="43" fontId="0" fillId="56" borderId="9" xfId="1" applyFont="1" applyFill="1" applyBorder="1" applyAlignment="1">
      <alignment horizontal="center" vertical="center"/>
    </xf>
    <xf numFmtId="43" fontId="0" fillId="28" borderId="48" xfId="1" applyFont="1" applyFill="1" applyBorder="1" applyAlignment="1">
      <alignment horizontal="center" vertical="center"/>
    </xf>
    <xf numFmtId="43" fontId="0" fillId="28" borderId="61" xfId="1" applyFont="1" applyFill="1" applyBorder="1" applyAlignment="1">
      <alignment horizontal="center" vertical="center"/>
    </xf>
    <xf numFmtId="43" fontId="0" fillId="28" borderId="35" xfId="1" applyFont="1" applyFill="1" applyBorder="1" applyAlignment="1">
      <alignment horizontal="center" vertical="center"/>
    </xf>
    <xf numFmtId="171" fontId="2" fillId="45" borderId="48" xfId="1" applyNumberFormat="1" applyFont="1" applyFill="1" applyBorder="1" applyAlignment="1">
      <alignment horizontal="center" vertical="center"/>
    </xf>
    <xf numFmtId="43" fontId="0" fillId="0" borderId="44" xfId="1" applyFont="1" applyFill="1" applyBorder="1" applyAlignment="1">
      <alignment horizontal="center" vertical="center"/>
    </xf>
    <xf numFmtId="43" fontId="24" fillId="16" borderId="67" xfId="1" applyFont="1" applyFill="1" applyBorder="1" applyAlignment="1">
      <alignment horizontal="center" vertical="center"/>
    </xf>
    <xf numFmtId="0" fontId="43" fillId="46" borderId="1" xfId="0" applyFont="1" applyFill="1" applyBorder="1" applyAlignment="1">
      <alignment vertical="center"/>
    </xf>
    <xf numFmtId="0" fontId="43" fillId="46" borderId="3" xfId="0" applyFont="1" applyFill="1" applyBorder="1" applyAlignment="1">
      <alignment vertical="center"/>
    </xf>
    <xf numFmtId="0" fontId="43" fillId="46" borderId="15" xfId="0" applyFont="1" applyFill="1" applyBorder="1" applyAlignment="1">
      <alignment vertical="center"/>
    </xf>
    <xf numFmtId="0" fontId="43" fillId="46" borderId="20" xfId="0" applyFont="1" applyFill="1" applyBorder="1" applyAlignment="1">
      <alignment vertical="center"/>
    </xf>
    <xf numFmtId="0" fontId="43" fillId="57" borderId="1" xfId="0" applyFont="1" applyFill="1" applyBorder="1" applyAlignment="1">
      <alignment vertical="center"/>
    </xf>
    <xf numFmtId="0" fontId="43" fillId="57" borderId="3" xfId="0" applyFont="1" applyFill="1" applyBorder="1" applyAlignment="1">
      <alignment vertical="center"/>
    </xf>
    <xf numFmtId="0" fontId="12" fillId="19" borderId="7" xfId="0" applyFont="1" applyFill="1" applyBorder="1" applyAlignment="1">
      <alignment horizontal="left" wrapText="1"/>
    </xf>
    <xf numFmtId="0" fontId="12" fillId="19" borderId="8" xfId="0" applyFont="1" applyFill="1" applyBorder="1" applyAlignment="1">
      <alignment horizontal="left" wrapText="1"/>
    </xf>
    <xf numFmtId="43" fontId="24" fillId="25" borderId="10" xfId="1" applyFont="1" applyFill="1" applyBorder="1" applyAlignment="1">
      <alignment horizontal="center" vertical="center"/>
    </xf>
    <xf numFmtId="43" fontId="24" fillId="57" borderId="10" xfId="1" applyFont="1" applyFill="1" applyBorder="1" applyAlignment="1">
      <alignment horizontal="center" vertical="center"/>
    </xf>
    <xf numFmtId="43" fontId="37" fillId="28" borderId="10" xfId="1" applyFont="1" applyFill="1" applyBorder="1" applyAlignment="1">
      <alignment horizontal="center" vertical="center"/>
    </xf>
    <xf numFmtId="43" fontId="37" fillId="28" borderId="11" xfId="1" applyFont="1" applyFill="1" applyBorder="1" applyAlignment="1">
      <alignment horizontal="center" vertical="center"/>
    </xf>
    <xf numFmtId="43" fontId="0" fillId="4" borderId="11" xfId="1" applyFont="1" applyFill="1" applyBorder="1" applyAlignment="1">
      <alignment horizontal="center" vertical="center"/>
    </xf>
    <xf numFmtId="43" fontId="37" fillId="28" borderId="9" xfId="1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vertical="center" wrapText="1" readingOrder="1"/>
    </xf>
    <xf numFmtId="0" fontId="6" fillId="12" borderId="16" xfId="0" applyFont="1" applyFill="1" applyBorder="1" applyAlignment="1">
      <alignment vertical="center" wrapText="1" readingOrder="1"/>
    </xf>
    <xf numFmtId="0" fontId="6" fillId="12" borderId="20" xfId="0" applyFont="1" applyFill="1" applyBorder="1" applyAlignment="1">
      <alignment vertical="center" wrapText="1" readingOrder="1"/>
    </xf>
    <xf numFmtId="0" fontId="6" fillId="12" borderId="15" xfId="0" applyFont="1" applyFill="1" applyBorder="1" applyAlignment="1">
      <alignment vertical="center" wrapText="1" readingOrder="1"/>
    </xf>
    <xf numFmtId="0" fontId="12" fillId="15" borderId="12" xfId="0" applyFont="1" applyFill="1" applyBorder="1" applyAlignment="1">
      <alignment wrapText="1"/>
    </xf>
    <xf numFmtId="0" fontId="12" fillId="15" borderId="14" xfId="0" applyFont="1" applyFill="1" applyBorder="1" applyAlignment="1">
      <alignment wrapText="1"/>
    </xf>
    <xf numFmtId="0" fontId="12" fillId="15" borderId="7" xfId="0" applyFont="1" applyFill="1" applyBorder="1" applyAlignment="1">
      <alignment wrapText="1"/>
    </xf>
    <xf numFmtId="0" fontId="12" fillId="15" borderId="8" xfId="0" applyFont="1" applyFill="1" applyBorder="1" applyAlignment="1">
      <alignment wrapText="1"/>
    </xf>
    <xf numFmtId="0" fontId="12" fillId="19" borderId="7" xfId="0" applyFont="1" applyFill="1" applyBorder="1" applyAlignment="1">
      <alignment wrapText="1"/>
    </xf>
    <xf numFmtId="0" fontId="12" fillId="19" borderId="8" xfId="0" applyFont="1" applyFill="1" applyBorder="1" applyAlignment="1">
      <alignment wrapText="1"/>
    </xf>
    <xf numFmtId="0" fontId="10" fillId="12" borderId="12" xfId="0" applyFont="1" applyFill="1" applyBorder="1" applyAlignment="1">
      <alignment vertical="center"/>
    </xf>
    <xf numFmtId="0" fontId="10" fillId="12" borderId="13" xfId="0" applyFont="1" applyFill="1" applyBorder="1" applyAlignment="1">
      <alignment vertical="center"/>
    </xf>
    <xf numFmtId="0" fontId="10" fillId="12" borderId="0" xfId="0" applyFont="1" applyFill="1" applyBorder="1" applyAlignment="1">
      <alignment vertical="center"/>
    </xf>
    <xf numFmtId="0" fontId="10" fillId="12" borderId="14" xfId="0" applyFont="1" applyFill="1" applyBorder="1" applyAlignment="1">
      <alignment vertical="center"/>
    </xf>
    <xf numFmtId="0" fontId="12" fillId="15" borderId="1" xfId="0" applyFont="1" applyFill="1" applyBorder="1" applyAlignment="1">
      <alignment wrapText="1"/>
    </xf>
    <xf numFmtId="0" fontId="12" fillId="15" borderId="3" xfId="0" applyFont="1" applyFill="1" applyBorder="1" applyAlignment="1">
      <alignment wrapText="1"/>
    </xf>
    <xf numFmtId="0" fontId="12" fillId="18" borderId="7" xfId="0" applyFont="1" applyFill="1" applyBorder="1" applyAlignment="1">
      <alignment wrapText="1"/>
    </xf>
    <xf numFmtId="0" fontId="12" fillId="18" borderId="8" xfId="0" applyFont="1" applyFill="1" applyBorder="1" applyAlignment="1">
      <alignment wrapText="1"/>
    </xf>
    <xf numFmtId="0" fontId="10" fillId="12" borderId="15" xfId="0" applyFont="1" applyFill="1" applyBorder="1" applyAlignment="1">
      <alignment vertical="center"/>
    </xf>
    <xf numFmtId="0" fontId="10" fillId="12" borderId="16" xfId="0" applyFont="1" applyFill="1" applyBorder="1" applyAlignment="1">
      <alignment vertical="center"/>
    </xf>
    <xf numFmtId="0" fontId="10" fillId="12" borderId="2" xfId="0" applyFont="1" applyFill="1" applyBorder="1" applyAlignment="1">
      <alignment vertical="center"/>
    </xf>
    <xf numFmtId="0" fontId="10" fillId="12" borderId="20" xfId="0" applyFont="1" applyFill="1" applyBorder="1" applyAlignment="1">
      <alignment vertical="center"/>
    </xf>
    <xf numFmtId="43" fontId="3" fillId="0" borderId="32" xfId="1" applyFont="1" applyBorder="1" applyAlignment="1">
      <alignment horizontal="right" vertical="center"/>
    </xf>
    <xf numFmtId="9" fontId="13" fillId="16" borderId="30" xfId="2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vertical="center"/>
    </xf>
    <xf numFmtId="0" fontId="51" fillId="27" borderId="0" xfId="7" applyFill="1" applyBorder="1" applyAlignment="1">
      <alignment vertical="center"/>
    </xf>
    <xf numFmtId="0" fontId="4" fillId="16" borderId="2" xfId="0" applyFont="1" applyFill="1" applyBorder="1" applyAlignment="1">
      <alignment vertical="center"/>
    </xf>
    <xf numFmtId="0" fontId="51" fillId="27" borderId="2" xfId="7" applyFill="1" applyBorder="1" applyAlignment="1">
      <alignment vertical="center"/>
    </xf>
    <xf numFmtId="0" fontId="51" fillId="27" borderId="13" xfId="7" applyFill="1" applyBorder="1" applyAlignment="1">
      <alignment vertical="center"/>
    </xf>
    <xf numFmtId="43" fontId="23" fillId="39" borderId="4" xfId="1" applyFont="1" applyFill="1" applyBorder="1" applyAlignment="1">
      <alignment horizontal="center" vertical="center"/>
    </xf>
    <xf numFmtId="43" fontId="23" fillId="39" borderId="9" xfId="1" applyFont="1" applyFill="1" applyBorder="1" applyAlignment="1">
      <alignment horizontal="center" vertical="center"/>
    </xf>
    <xf numFmtId="43" fontId="23" fillId="39" borderId="17" xfId="1" applyFont="1" applyFill="1" applyBorder="1" applyAlignment="1">
      <alignment horizontal="center" vertical="center"/>
    </xf>
    <xf numFmtId="0" fontId="52" fillId="39" borderId="14" xfId="7" applyFont="1" applyFill="1" applyBorder="1" applyAlignment="1">
      <alignment vertical="center"/>
    </xf>
    <xf numFmtId="43" fontId="24" fillId="16" borderId="35" xfId="1" applyFont="1" applyFill="1" applyBorder="1" applyAlignment="1">
      <alignment horizontal="center" vertical="center"/>
    </xf>
    <xf numFmtId="43" fontId="24" fillId="16" borderId="9" xfId="1" quotePrefix="1" applyFont="1" applyFill="1" applyBorder="1" applyAlignment="1">
      <alignment horizontal="center" vertical="center"/>
    </xf>
    <xf numFmtId="43" fontId="24" fillId="16" borderId="53" xfId="1" applyFont="1" applyFill="1" applyBorder="1" applyAlignment="1">
      <alignment horizontal="center" vertical="center"/>
    </xf>
    <xf numFmtId="43" fontId="24" fillId="16" borderId="26" xfId="1" applyFont="1" applyFill="1" applyBorder="1" applyAlignment="1">
      <alignment horizontal="center" vertical="center"/>
    </xf>
    <xf numFmtId="43" fontId="24" fillId="16" borderId="29" xfId="1" applyFont="1" applyFill="1" applyBorder="1" applyAlignment="1">
      <alignment horizontal="center" vertical="center"/>
    </xf>
    <xf numFmtId="43" fontId="24" fillId="16" borderId="32" xfId="1" applyFont="1" applyFill="1" applyBorder="1" applyAlignment="1">
      <alignment horizontal="center" vertical="center"/>
    </xf>
    <xf numFmtId="43" fontId="2" fillId="57" borderId="4" xfId="1" applyFont="1" applyFill="1" applyBorder="1" applyAlignment="1">
      <alignment horizontal="center" vertical="center"/>
    </xf>
    <xf numFmtId="43" fontId="2" fillId="57" borderId="5" xfId="1" applyFont="1" applyFill="1" applyBorder="1" applyAlignment="1">
      <alignment horizontal="center" vertical="center"/>
    </xf>
    <xf numFmtId="43" fontId="2" fillId="57" borderId="6" xfId="1" applyFont="1" applyFill="1" applyBorder="1" applyAlignment="1">
      <alignment horizontal="center" vertical="center"/>
    </xf>
    <xf numFmtId="43" fontId="0" fillId="11" borderId="61" xfId="1" applyFont="1" applyFill="1" applyBorder="1" applyAlignment="1">
      <alignment horizontal="center" vertical="center"/>
    </xf>
    <xf numFmtId="43" fontId="0" fillId="56" borderId="4" xfId="1" applyFont="1" applyFill="1" applyBorder="1" applyAlignment="1">
      <alignment horizontal="center" vertical="center"/>
    </xf>
    <xf numFmtId="43" fontId="0" fillId="56" borderId="5" xfId="1" applyFont="1" applyFill="1" applyBorder="1" applyAlignment="1">
      <alignment horizontal="center" vertical="center"/>
    </xf>
    <xf numFmtId="43" fontId="37" fillId="28" borderId="17" xfId="1" applyFont="1" applyFill="1" applyBorder="1" applyAlignment="1">
      <alignment horizontal="center" vertical="center"/>
    </xf>
    <xf numFmtId="43" fontId="37" fillId="28" borderId="18" xfId="1" applyFont="1" applyFill="1" applyBorder="1" applyAlignment="1">
      <alignment horizontal="center" vertical="center"/>
    </xf>
    <xf numFmtId="43" fontId="37" fillId="28" borderId="19" xfId="1" applyFont="1" applyFill="1" applyBorder="1" applyAlignment="1">
      <alignment horizontal="center" vertical="center"/>
    </xf>
    <xf numFmtId="171" fontId="2" fillId="45" borderId="71" xfId="1" applyNumberFormat="1" applyFont="1" applyFill="1" applyBorder="1" applyAlignment="1">
      <alignment horizontal="center" vertical="center"/>
    </xf>
    <xf numFmtId="171" fontId="2" fillId="45" borderId="41" xfId="1" applyNumberFormat="1" applyFont="1" applyFill="1" applyBorder="1" applyAlignment="1">
      <alignment horizontal="center" vertical="center"/>
    </xf>
    <xf numFmtId="0" fontId="59" fillId="15" borderId="34" xfId="0" applyFont="1" applyFill="1" applyBorder="1" applyAlignment="1">
      <alignment horizontal="left" wrapText="1"/>
    </xf>
    <xf numFmtId="0" fontId="59" fillId="15" borderId="37" xfId="0" applyFont="1" applyFill="1" applyBorder="1" applyAlignment="1">
      <alignment horizontal="left" wrapText="1"/>
    </xf>
    <xf numFmtId="0" fontId="59" fillId="15" borderId="39" xfId="0" applyFont="1" applyFill="1" applyBorder="1" applyAlignment="1">
      <alignment horizontal="left" wrapText="1"/>
    </xf>
    <xf numFmtId="0" fontId="59" fillId="18" borderId="34" xfId="0" applyFont="1" applyFill="1" applyBorder="1" applyAlignment="1">
      <alignment horizontal="left" wrapText="1"/>
    </xf>
    <xf numFmtId="0" fontId="59" fillId="18" borderId="39" xfId="0" applyFont="1" applyFill="1" applyBorder="1" applyAlignment="1">
      <alignment horizontal="left" wrapText="1"/>
    </xf>
    <xf numFmtId="0" fontId="59" fillId="19" borderId="34" xfId="0" applyFont="1" applyFill="1" applyBorder="1" applyAlignment="1">
      <alignment horizontal="left" wrapText="1"/>
    </xf>
    <xf numFmtId="0" fontId="59" fillId="19" borderId="37" xfId="0" applyFont="1" applyFill="1" applyBorder="1" applyAlignment="1">
      <alignment horizontal="left" wrapText="1"/>
    </xf>
    <xf numFmtId="0" fontId="59" fillId="19" borderId="39" xfId="0" applyFont="1" applyFill="1" applyBorder="1" applyAlignment="1">
      <alignment horizontal="left" wrapText="1"/>
    </xf>
    <xf numFmtId="0" fontId="59" fillId="15" borderId="42" xfId="0" applyFont="1" applyFill="1" applyBorder="1" applyAlignment="1">
      <alignment horizontal="left" wrapText="1"/>
    </xf>
    <xf numFmtId="43" fontId="0" fillId="27" borderId="4" xfId="1" applyFont="1" applyFill="1" applyBorder="1" applyAlignment="1">
      <alignment horizontal="center" vertical="center"/>
    </xf>
    <xf numFmtId="43" fontId="0" fillId="27" borderId="5" xfId="1" applyFont="1" applyFill="1" applyBorder="1" applyAlignment="1">
      <alignment horizontal="center" vertical="center"/>
    </xf>
    <xf numFmtId="43" fontId="0" fillId="27" borderId="17" xfId="1" applyFont="1" applyFill="1" applyBorder="1" applyAlignment="1">
      <alignment horizontal="center" vertical="center"/>
    </xf>
    <xf numFmtId="43" fontId="0" fillId="27" borderId="18" xfId="1" applyFont="1" applyFill="1" applyBorder="1" applyAlignment="1">
      <alignment horizontal="center" vertical="center"/>
    </xf>
    <xf numFmtId="43" fontId="0" fillId="4" borderId="4" xfId="1" applyFont="1" applyFill="1" applyBorder="1" applyAlignment="1">
      <alignment horizontal="center" vertical="center"/>
    </xf>
    <xf numFmtId="43" fontId="0" fillId="4" borderId="5" xfId="1" applyFont="1" applyFill="1" applyBorder="1" applyAlignment="1">
      <alignment horizontal="center" vertical="center"/>
    </xf>
    <xf numFmtId="43" fontId="0" fillId="4" borderId="17" xfId="1" applyFont="1" applyFill="1" applyBorder="1" applyAlignment="1">
      <alignment horizontal="center" vertical="center"/>
    </xf>
    <xf numFmtId="43" fontId="0" fillId="4" borderId="18" xfId="1" applyFont="1" applyFill="1" applyBorder="1" applyAlignment="1">
      <alignment horizontal="center" vertical="center"/>
    </xf>
    <xf numFmtId="43" fontId="28" fillId="19" borderId="70" xfId="1" applyFont="1" applyFill="1" applyBorder="1" applyAlignment="1">
      <alignment horizontal="center" vertical="center" wrapText="1"/>
    </xf>
    <xf numFmtId="43" fontId="37" fillId="0" borderId="52" xfId="1" applyFont="1" applyBorder="1" applyAlignment="1">
      <alignment horizontal="left" vertical="top"/>
    </xf>
    <xf numFmtId="43" fontId="37" fillId="0" borderId="9" xfId="1" applyFont="1" applyBorder="1" applyAlignment="1">
      <alignment horizontal="left" vertical="top"/>
    </xf>
    <xf numFmtId="43" fontId="28" fillId="19" borderId="69" xfId="1" applyFont="1" applyFill="1" applyBorder="1" applyAlignment="1">
      <alignment horizontal="center" vertical="center" wrapText="1"/>
    </xf>
    <xf numFmtId="43" fontId="28" fillId="18" borderId="58" xfId="1" applyFont="1" applyFill="1" applyBorder="1" applyAlignment="1">
      <alignment horizontal="center" vertical="center" wrapText="1"/>
    </xf>
    <xf numFmtId="43" fontId="28" fillId="18" borderId="60" xfId="1" applyFont="1" applyFill="1" applyBorder="1" applyAlignment="1">
      <alignment horizontal="center" vertical="center" wrapText="1"/>
    </xf>
    <xf numFmtId="43" fontId="37" fillId="0" borderId="43" xfId="1" applyFont="1" applyBorder="1" applyAlignment="1">
      <alignment horizontal="left" vertical="top"/>
    </xf>
    <xf numFmtId="43" fontId="37" fillId="0" borderId="50" xfId="1" applyFont="1" applyBorder="1" applyAlignment="1">
      <alignment horizontal="left" vertical="top"/>
    </xf>
    <xf numFmtId="43" fontId="37" fillId="0" borderId="75" xfId="1" applyFont="1" applyBorder="1" applyAlignment="1">
      <alignment horizontal="left" vertical="top"/>
    </xf>
    <xf numFmtId="43" fontId="37" fillId="0" borderId="39" xfId="1" applyFont="1" applyBorder="1" applyAlignment="1">
      <alignment horizontal="left" vertical="top"/>
    </xf>
    <xf numFmtId="43" fontId="37" fillId="0" borderId="64" xfId="1" applyFont="1" applyBorder="1" applyAlignment="1">
      <alignment horizontal="left" vertical="top"/>
    </xf>
    <xf numFmtId="9" fontId="37" fillId="0" borderId="58" xfId="2" applyFont="1" applyBorder="1" applyAlignment="1">
      <alignment horizontal="center" vertical="top"/>
    </xf>
    <xf numFmtId="0" fontId="38" fillId="0" borderId="38" xfId="0" applyFont="1" applyBorder="1" applyAlignment="1">
      <alignment horizontal="center"/>
    </xf>
    <xf numFmtId="0" fontId="38" fillId="0" borderId="68" xfId="0" applyFont="1" applyBorder="1" applyAlignment="1">
      <alignment horizontal="center"/>
    </xf>
    <xf numFmtId="43" fontId="1" fillId="44" borderId="48" xfId="1" applyFont="1" applyFill="1" applyBorder="1"/>
    <xf numFmtId="43" fontId="1" fillId="44" borderId="61" xfId="1" applyFont="1" applyFill="1" applyBorder="1"/>
    <xf numFmtId="43" fontId="1" fillId="44" borderId="35" xfId="1" applyFont="1" applyFill="1" applyBorder="1"/>
    <xf numFmtId="0" fontId="1" fillId="44" borderId="35" xfId="0" applyFont="1" applyFill="1" applyBorder="1"/>
    <xf numFmtId="43" fontId="1" fillId="44" borderId="66" xfId="1" applyFont="1" applyFill="1" applyBorder="1"/>
    <xf numFmtId="4" fontId="1" fillId="44" borderId="61" xfId="0" applyNumberFormat="1" applyFont="1" applyFill="1" applyBorder="1"/>
    <xf numFmtId="43" fontId="1" fillId="44" borderId="62" xfId="1" applyFont="1" applyFill="1" applyBorder="1"/>
    <xf numFmtId="167" fontId="1" fillId="44" borderId="48" xfId="1" applyNumberFormat="1" applyFont="1" applyFill="1" applyBorder="1"/>
    <xf numFmtId="43" fontId="0" fillId="27" borderId="38" xfId="1" applyFont="1" applyFill="1" applyBorder="1" applyAlignment="1">
      <alignment horizontal="center"/>
    </xf>
    <xf numFmtId="43" fontId="2" fillId="39" borderId="68" xfId="1" applyFont="1" applyFill="1" applyBorder="1" applyAlignment="1">
      <alignment horizontal="center" vertical="center"/>
    </xf>
    <xf numFmtId="43" fontId="0" fillId="4" borderId="4" xfId="1" applyFont="1" applyFill="1" applyBorder="1" applyAlignment="1">
      <alignment horizontal="right" vertical="center"/>
    </xf>
    <xf numFmtId="43" fontId="0" fillId="4" borderId="17" xfId="1" applyFont="1" applyFill="1" applyBorder="1" applyAlignment="1">
      <alignment horizontal="right" vertical="center"/>
    </xf>
    <xf numFmtId="0" fontId="24" fillId="16" borderId="48" xfId="0" applyFont="1" applyFill="1" applyBorder="1" applyAlignment="1"/>
    <xf numFmtId="0" fontId="51" fillId="16" borderId="61" xfId="7" applyFill="1" applyBorder="1" applyAlignment="1"/>
    <xf numFmtId="0" fontId="24" fillId="16" borderId="61" xfId="0" applyFont="1" applyFill="1" applyBorder="1" applyAlignment="1">
      <alignment horizontal="left"/>
    </xf>
    <xf numFmtId="0" fontId="24" fillId="16" borderId="35" xfId="0" applyFont="1" applyFill="1" applyBorder="1" applyAlignment="1">
      <alignment horizontal="left"/>
    </xf>
    <xf numFmtId="167" fontId="24" fillId="16" borderId="49" xfId="1" applyNumberFormat="1" applyFont="1" applyFill="1" applyBorder="1" applyAlignment="1">
      <alignment horizontal="center" vertical="center"/>
    </xf>
    <xf numFmtId="43" fontId="24" fillId="16" borderId="47" xfId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43" fontId="45" fillId="53" borderId="21" xfId="1" applyFont="1" applyFill="1" applyBorder="1" applyAlignment="1">
      <alignment horizontal="center" vertical="center" wrapText="1"/>
    </xf>
    <xf numFmtId="43" fontId="45" fillId="53" borderId="22" xfId="1" applyFont="1" applyFill="1" applyBorder="1" applyAlignment="1">
      <alignment horizontal="center" vertical="center" wrapText="1"/>
    </xf>
    <xf numFmtId="43" fontId="45" fillId="53" borderId="23" xfId="1" applyFont="1" applyFill="1" applyBorder="1" applyAlignment="1">
      <alignment horizontal="center" vertical="center" wrapText="1"/>
    </xf>
    <xf numFmtId="43" fontId="47" fillId="4" borderId="67" xfId="1" applyFont="1" applyFill="1" applyBorder="1" applyAlignment="1">
      <alignment horizontal="center" vertical="center" wrapText="1"/>
    </xf>
    <xf numFmtId="43" fontId="47" fillId="4" borderId="76" xfId="1" applyFont="1" applyFill="1" applyBorder="1" applyAlignment="1">
      <alignment horizontal="center" vertical="center" wrapText="1"/>
    </xf>
    <xf numFmtId="43" fontId="47" fillId="4" borderId="44" xfId="1" applyFont="1" applyFill="1" applyBorder="1" applyAlignment="1">
      <alignment horizontal="center" vertical="center" wrapText="1"/>
    </xf>
    <xf numFmtId="43" fontId="48" fillId="8" borderId="67" xfId="1" applyFont="1" applyFill="1" applyBorder="1" applyAlignment="1">
      <alignment horizontal="center" vertical="center" wrapText="1"/>
    </xf>
    <xf numFmtId="43" fontId="48" fillId="8" borderId="76" xfId="1" applyFont="1" applyFill="1" applyBorder="1" applyAlignment="1">
      <alignment horizontal="center" vertical="center" wrapText="1"/>
    </xf>
    <xf numFmtId="43" fontId="48" fillId="8" borderId="44" xfId="1" applyFont="1" applyFill="1" applyBorder="1" applyAlignment="1">
      <alignment horizontal="center" vertical="center" wrapText="1"/>
    </xf>
    <xf numFmtId="43" fontId="46" fillId="55" borderId="67" xfId="1" applyFont="1" applyFill="1" applyBorder="1" applyAlignment="1">
      <alignment horizontal="center" vertical="center" wrapText="1"/>
    </xf>
    <xf numFmtId="43" fontId="46" fillId="55" borderId="76" xfId="1" applyFont="1" applyFill="1" applyBorder="1" applyAlignment="1">
      <alignment horizontal="center" vertical="center" wrapText="1"/>
    </xf>
    <xf numFmtId="43" fontId="46" fillId="55" borderId="44" xfId="1" applyFont="1" applyFill="1" applyBorder="1" applyAlignment="1">
      <alignment horizontal="center" vertical="center" wrapText="1"/>
    </xf>
    <xf numFmtId="43" fontId="43" fillId="35" borderId="58" xfId="1" applyFont="1" applyFill="1" applyBorder="1" applyAlignment="1">
      <alignment horizontal="center" vertical="center"/>
    </xf>
    <xf numFmtId="43" fontId="43" fillId="35" borderId="59" xfId="1" applyFont="1" applyFill="1" applyBorder="1" applyAlignment="1">
      <alignment horizontal="center" vertical="center"/>
    </xf>
    <xf numFmtId="43" fontId="43" fillId="35" borderId="60" xfId="1" applyFont="1" applyFill="1" applyBorder="1" applyAlignment="1">
      <alignment horizontal="center" vertical="center"/>
    </xf>
    <xf numFmtId="43" fontId="2" fillId="4" borderId="15" xfId="1" applyFont="1" applyFill="1" applyBorder="1" applyAlignment="1">
      <alignment horizontal="center" vertical="center"/>
    </xf>
    <xf numFmtId="43" fontId="2" fillId="4" borderId="16" xfId="1" applyFont="1" applyFill="1" applyBorder="1" applyAlignment="1">
      <alignment horizontal="center" vertical="center"/>
    </xf>
    <xf numFmtId="43" fontId="2" fillId="4" borderId="20" xfId="1" applyFont="1" applyFill="1" applyBorder="1" applyAlignment="1">
      <alignment horizontal="center" vertical="center"/>
    </xf>
    <xf numFmtId="43" fontId="2" fillId="16" borderId="21" xfId="1" applyFont="1" applyFill="1" applyBorder="1" applyAlignment="1">
      <alignment horizontal="center" vertical="center"/>
    </xf>
    <xf numFmtId="43" fontId="2" fillId="16" borderId="22" xfId="1" applyFont="1" applyFill="1" applyBorder="1" applyAlignment="1">
      <alignment horizontal="center" vertical="center"/>
    </xf>
    <xf numFmtId="43" fontId="2" fillId="16" borderId="23" xfId="1" applyFont="1" applyFill="1" applyBorder="1" applyAlignment="1">
      <alignment horizontal="center" vertical="center"/>
    </xf>
    <xf numFmtId="43" fontId="0" fillId="48" borderId="67" xfId="1" applyFont="1" applyFill="1" applyBorder="1" applyAlignment="1">
      <alignment horizontal="center" vertical="center"/>
    </xf>
    <xf numFmtId="43" fontId="0" fillId="48" borderId="76" xfId="1" applyFont="1" applyFill="1" applyBorder="1" applyAlignment="1">
      <alignment horizontal="center" vertical="center"/>
    </xf>
    <xf numFmtId="43" fontId="0" fillId="48" borderId="44" xfId="1" applyFont="1" applyFill="1" applyBorder="1" applyAlignment="1">
      <alignment horizontal="center" vertical="center"/>
    </xf>
    <xf numFmtId="43" fontId="0" fillId="49" borderId="67" xfId="1" applyFont="1" applyFill="1" applyBorder="1" applyAlignment="1">
      <alignment horizontal="center" vertical="center"/>
    </xf>
    <xf numFmtId="43" fontId="0" fillId="49" borderId="76" xfId="1" applyFont="1" applyFill="1" applyBorder="1" applyAlignment="1">
      <alignment horizontal="center" vertical="center"/>
    </xf>
    <xf numFmtId="43" fontId="0" fillId="49" borderId="44" xfId="1" applyFont="1" applyFill="1" applyBorder="1" applyAlignment="1">
      <alignment horizontal="center" vertical="center"/>
    </xf>
    <xf numFmtId="43" fontId="48" fillId="50" borderId="67" xfId="1" applyFont="1" applyFill="1" applyBorder="1" applyAlignment="1">
      <alignment horizontal="center" vertical="center" wrapText="1"/>
    </xf>
    <xf numFmtId="43" fontId="48" fillId="50" borderId="76" xfId="1" applyFont="1" applyFill="1" applyBorder="1" applyAlignment="1">
      <alignment horizontal="center" vertical="center" wrapText="1"/>
    </xf>
    <xf numFmtId="43" fontId="48" fillId="50" borderId="44" xfId="1" applyFont="1" applyFill="1" applyBorder="1" applyAlignment="1">
      <alignment horizontal="center" vertical="center" wrapText="1"/>
    </xf>
    <xf numFmtId="43" fontId="45" fillId="53" borderId="58" xfId="1" applyFont="1" applyFill="1" applyBorder="1" applyAlignment="1">
      <alignment horizontal="center" vertical="center" wrapText="1"/>
    </xf>
    <xf numFmtId="43" fontId="45" fillId="53" borderId="59" xfId="1" applyFont="1" applyFill="1" applyBorder="1" applyAlignment="1">
      <alignment horizontal="center" vertical="center" wrapText="1"/>
    </xf>
    <xf numFmtId="43" fontId="45" fillId="53" borderId="60" xfId="1" applyFont="1" applyFill="1" applyBorder="1" applyAlignment="1">
      <alignment horizontal="center" vertical="center" wrapText="1"/>
    </xf>
    <xf numFmtId="43" fontId="47" fillId="4" borderId="58" xfId="1" applyFont="1" applyFill="1" applyBorder="1" applyAlignment="1">
      <alignment horizontal="center" vertical="center" wrapText="1"/>
    </xf>
    <xf numFmtId="43" fontId="47" fillId="4" borderId="59" xfId="1" applyFont="1" applyFill="1" applyBorder="1" applyAlignment="1">
      <alignment horizontal="center" vertical="center" wrapText="1"/>
    </xf>
    <xf numFmtId="43" fontId="47" fillId="4" borderId="60" xfId="1" applyFont="1" applyFill="1" applyBorder="1" applyAlignment="1">
      <alignment horizontal="center" vertical="center" wrapText="1"/>
    </xf>
    <xf numFmtId="43" fontId="48" fillId="8" borderId="58" xfId="1" applyFont="1" applyFill="1" applyBorder="1" applyAlignment="1">
      <alignment horizontal="center" vertical="center" wrapText="1"/>
    </xf>
    <xf numFmtId="43" fontId="48" fillId="8" borderId="59" xfId="1" applyFont="1" applyFill="1" applyBorder="1" applyAlignment="1">
      <alignment horizontal="center" vertical="center" wrapText="1"/>
    </xf>
    <xf numFmtId="43" fontId="48" fillId="8" borderId="60" xfId="1" applyFont="1" applyFill="1" applyBorder="1" applyAlignment="1">
      <alignment horizontal="center" vertical="center" wrapText="1"/>
    </xf>
    <xf numFmtId="43" fontId="46" fillId="55" borderId="58" xfId="1" applyFont="1" applyFill="1" applyBorder="1" applyAlignment="1">
      <alignment horizontal="center" vertical="center" wrapText="1"/>
    </xf>
    <xf numFmtId="43" fontId="46" fillId="55" borderId="59" xfId="1" applyFont="1" applyFill="1" applyBorder="1" applyAlignment="1">
      <alignment horizontal="center" vertical="center" wrapText="1"/>
    </xf>
    <xf numFmtId="43" fontId="46" fillId="55" borderId="60" xfId="1" applyFont="1" applyFill="1" applyBorder="1" applyAlignment="1">
      <alignment horizontal="center" vertical="center" wrapText="1"/>
    </xf>
    <xf numFmtId="43" fontId="2" fillId="16" borderId="58" xfId="1" applyFont="1" applyFill="1" applyBorder="1" applyAlignment="1">
      <alignment horizontal="center" vertical="center"/>
    </xf>
    <xf numFmtId="43" fontId="2" fillId="16" borderId="59" xfId="1" applyFont="1" applyFill="1" applyBorder="1" applyAlignment="1">
      <alignment horizontal="center" vertical="center"/>
    </xf>
    <xf numFmtId="43" fontId="2" fillId="16" borderId="60" xfId="1" applyFont="1" applyFill="1" applyBorder="1" applyAlignment="1">
      <alignment horizontal="center" vertical="center"/>
    </xf>
    <xf numFmtId="43" fontId="0" fillId="48" borderId="71" xfId="1" applyFont="1" applyFill="1" applyBorder="1" applyAlignment="1">
      <alignment horizontal="center" vertical="center"/>
    </xf>
    <xf numFmtId="43" fontId="0" fillId="48" borderId="72" xfId="1" applyFont="1" applyFill="1" applyBorder="1" applyAlignment="1">
      <alignment horizontal="center" vertical="center"/>
    </xf>
    <xf numFmtId="43" fontId="0" fillId="48" borderId="45" xfId="1" applyFont="1" applyFill="1" applyBorder="1" applyAlignment="1">
      <alignment horizontal="center" vertical="center"/>
    </xf>
    <xf numFmtId="43" fontId="0" fillId="49" borderId="58" xfId="1" applyFont="1" applyFill="1" applyBorder="1" applyAlignment="1">
      <alignment horizontal="center" vertical="center"/>
    </xf>
    <xf numFmtId="43" fontId="0" fillId="49" borderId="59" xfId="1" applyFont="1" applyFill="1" applyBorder="1" applyAlignment="1">
      <alignment horizontal="center" vertical="center"/>
    </xf>
    <xf numFmtId="43" fontId="0" fillId="49" borderId="60" xfId="1" applyFont="1" applyFill="1" applyBorder="1" applyAlignment="1">
      <alignment horizontal="center" vertical="center"/>
    </xf>
    <xf numFmtId="43" fontId="48" fillId="50" borderId="21" xfId="1" applyFont="1" applyFill="1" applyBorder="1" applyAlignment="1">
      <alignment horizontal="center" vertical="center" wrapText="1"/>
    </xf>
    <xf numFmtId="43" fontId="48" fillId="50" borderId="22" xfId="1" applyFont="1" applyFill="1" applyBorder="1" applyAlignment="1">
      <alignment horizontal="center" vertical="center" wrapText="1"/>
    </xf>
    <xf numFmtId="43" fontId="48" fillId="50" borderId="23" xfId="1" applyFont="1" applyFill="1" applyBorder="1" applyAlignment="1">
      <alignment horizontal="center" vertical="center" wrapText="1"/>
    </xf>
    <xf numFmtId="43" fontId="43" fillId="35" borderId="71" xfId="1" applyFont="1" applyFill="1" applyBorder="1" applyAlignment="1">
      <alignment horizontal="center" vertical="center"/>
    </xf>
    <xf numFmtId="43" fontId="43" fillId="35" borderId="72" xfId="1" applyFont="1" applyFill="1" applyBorder="1" applyAlignment="1">
      <alignment horizontal="center" vertical="center"/>
    </xf>
    <xf numFmtId="43" fontId="43" fillId="35" borderId="45" xfId="1" applyFont="1" applyFill="1" applyBorder="1" applyAlignment="1">
      <alignment horizontal="center" vertical="center"/>
    </xf>
    <xf numFmtId="43" fontId="46" fillId="55" borderId="21" xfId="1" applyFont="1" applyFill="1" applyBorder="1" applyAlignment="1">
      <alignment horizontal="center" vertical="center" wrapText="1"/>
    </xf>
    <xf numFmtId="43" fontId="46" fillId="55" borderId="22" xfId="1" applyFont="1" applyFill="1" applyBorder="1" applyAlignment="1">
      <alignment horizontal="center" vertical="center" wrapText="1"/>
    </xf>
    <xf numFmtId="43" fontId="46" fillId="55" borderId="23" xfId="1" applyFont="1" applyFill="1" applyBorder="1" applyAlignment="1">
      <alignment horizontal="center" vertical="center" wrapText="1"/>
    </xf>
    <xf numFmtId="0" fontId="46" fillId="55" borderId="1" xfId="0" applyFont="1" applyFill="1" applyBorder="1" applyAlignment="1">
      <alignment horizontal="center" vertical="center" wrapText="1"/>
    </xf>
    <xf numFmtId="0" fontId="46" fillId="55" borderId="3" xfId="0" applyFont="1" applyFill="1" applyBorder="1" applyAlignment="1">
      <alignment horizontal="center" vertical="center" wrapText="1"/>
    </xf>
    <xf numFmtId="0" fontId="45" fillId="53" borderId="7" xfId="0" applyFont="1" applyFill="1" applyBorder="1" applyAlignment="1">
      <alignment horizontal="center" vertical="center" wrapText="1"/>
    </xf>
    <xf numFmtId="0" fontId="45" fillId="53" borderId="8" xfId="0" applyFont="1" applyFill="1" applyBorder="1" applyAlignment="1">
      <alignment horizontal="center" vertical="center" wrapText="1"/>
    </xf>
    <xf numFmtId="0" fontId="43" fillId="35" borderId="58" xfId="0" applyFont="1" applyFill="1" applyBorder="1" applyAlignment="1">
      <alignment horizontal="center" vertical="center"/>
    </xf>
    <xf numFmtId="0" fontId="43" fillId="35" borderId="60" xfId="0" applyFont="1" applyFill="1" applyBorder="1" applyAlignment="1">
      <alignment horizontal="center" vertical="center"/>
    </xf>
    <xf numFmtId="0" fontId="48" fillId="50" borderId="2" xfId="0" applyFont="1" applyFill="1" applyBorder="1" applyAlignment="1">
      <alignment horizontal="center" vertical="center" wrapText="1"/>
    </xf>
    <xf numFmtId="0" fontId="48" fillId="50" borderId="3" xfId="0" applyFont="1" applyFill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 wrapText="1"/>
    </xf>
    <xf numFmtId="0" fontId="48" fillId="4" borderId="69" xfId="0" applyFont="1" applyFill="1" applyBorder="1" applyAlignment="1">
      <alignment horizontal="center" vertical="center" wrapText="1"/>
    </xf>
    <xf numFmtId="0" fontId="48" fillId="8" borderId="1" xfId="0" applyFont="1" applyFill="1" applyBorder="1" applyAlignment="1">
      <alignment horizontal="center" vertical="center" wrapText="1"/>
    </xf>
    <xf numFmtId="0" fontId="48" fillId="8" borderId="3" xfId="0" applyFont="1" applyFill="1" applyBorder="1" applyAlignment="1">
      <alignment horizontal="center" vertical="center" wrapText="1"/>
    </xf>
    <xf numFmtId="43" fontId="45" fillId="53" borderId="71" xfId="1" applyFont="1" applyFill="1" applyBorder="1" applyAlignment="1">
      <alignment horizontal="center" vertical="center" wrapText="1"/>
    </xf>
    <xf numFmtId="43" fontId="45" fillId="53" borderId="72" xfId="1" applyFont="1" applyFill="1" applyBorder="1" applyAlignment="1">
      <alignment horizontal="center" vertical="center" wrapText="1"/>
    </xf>
    <xf numFmtId="43" fontId="45" fillId="53" borderId="45" xfId="1" applyFont="1" applyFill="1" applyBorder="1" applyAlignment="1">
      <alignment horizontal="center" vertical="center" wrapText="1"/>
    </xf>
    <xf numFmtId="0" fontId="47" fillId="41" borderId="77" xfId="0" applyFont="1" applyFill="1" applyBorder="1" applyAlignment="1">
      <alignment horizontal="center" vertical="center" wrapText="1"/>
    </xf>
    <xf numFmtId="0" fontId="47" fillId="41" borderId="78" xfId="0" applyFont="1" applyFill="1" applyBorder="1" applyAlignment="1">
      <alignment horizontal="center" vertical="center" wrapText="1"/>
    </xf>
    <xf numFmtId="0" fontId="47" fillId="41" borderId="74" xfId="0" applyFont="1" applyFill="1" applyBorder="1" applyAlignment="1">
      <alignment horizontal="center" vertical="center" wrapText="1"/>
    </xf>
    <xf numFmtId="0" fontId="47" fillId="41" borderId="79" xfId="0" applyFont="1" applyFill="1" applyBorder="1" applyAlignment="1">
      <alignment horizontal="center" vertical="center" wrapText="1"/>
    </xf>
    <xf numFmtId="0" fontId="47" fillId="41" borderId="73" xfId="0" applyFont="1" applyFill="1" applyBorder="1" applyAlignment="1">
      <alignment horizontal="center" vertical="center" wrapText="1"/>
    </xf>
    <xf numFmtId="0" fontId="47" fillId="41" borderId="80" xfId="0" applyFont="1" applyFill="1" applyBorder="1" applyAlignment="1">
      <alignment horizontal="center" vertical="center" wrapText="1"/>
    </xf>
    <xf numFmtId="0" fontId="45" fillId="49" borderId="15" xfId="0" applyFont="1" applyFill="1" applyBorder="1" applyAlignment="1">
      <alignment horizontal="center" vertical="center"/>
    </xf>
    <xf numFmtId="0" fontId="45" fillId="49" borderId="20" xfId="0" applyFont="1" applyFill="1" applyBorder="1" applyAlignment="1">
      <alignment horizontal="center" vertical="center"/>
    </xf>
    <xf numFmtId="43" fontId="48" fillId="50" borderId="58" xfId="1" applyFont="1" applyFill="1" applyBorder="1" applyAlignment="1">
      <alignment horizontal="center" vertical="center" wrapText="1"/>
    </xf>
    <xf numFmtId="43" fontId="48" fillId="50" borderId="59" xfId="1" applyFont="1" applyFill="1" applyBorder="1" applyAlignment="1">
      <alignment horizontal="center" vertical="center" wrapText="1"/>
    </xf>
    <xf numFmtId="43" fontId="48" fillId="50" borderId="60" xfId="1" applyFont="1" applyFill="1" applyBorder="1" applyAlignment="1">
      <alignment horizontal="center" vertical="center" wrapText="1"/>
    </xf>
    <xf numFmtId="0" fontId="44" fillId="8" borderId="17" xfId="0" applyFont="1" applyFill="1" applyBorder="1" applyAlignment="1">
      <alignment horizontal="center" vertical="center"/>
    </xf>
    <xf numFmtId="0" fontId="44" fillId="8" borderId="19" xfId="0" applyFont="1" applyFill="1" applyBorder="1" applyAlignment="1">
      <alignment horizontal="center" vertical="center"/>
    </xf>
    <xf numFmtId="0" fontId="39" fillId="48" borderId="58" xfId="0" applyFont="1" applyFill="1" applyBorder="1" applyAlignment="1">
      <alignment horizontal="center" vertical="center"/>
    </xf>
    <xf numFmtId="0" fontId="39" fillId="48" borderId="60" xfId="0" applyFont="1" applyFill="1" applyBorder="1" applyAlignment="1">
      <alignment horizontal="center" vertical="center"/>
    </xf>
    <xf numFmtId="43" fontId="2" fillId="4" borderId="4" xfId="1" applyFont="1" applyFill="1" applyBorder="1" applyAlignment="1">
      <alignment horizontal="center" vertical="center"/>
    </xf>
    <xf numFmtId="43" fontId="2" fillId="4" borderId="5" xfId="1" applyFont="1" applyFill="1" applyBorder="1" applyAlignment="1">
      <alignment horizontal="center" vertical="center"/>
    </xf>
    <xf numFmtId="43" fontId="2" fillId="4" borderId="6" xfId="1" applyFont="1" applyFill="1" applyBorder="1" applyAlignment="1">
      <alignment horizontal="center" vertical="center"/>
    </xf>
    <xf numFmtId="43" fontId="2" fillId="4" borderId="25" xfId="1" applyFont="1" applyFill="1" applyBorder="1" applyAlignment="1">
      <alignment horizontal="center" vertical="center"/>
    </xf>
    <xf numFmtId="43" fontId="2" fillId="4" borderId="46" xfId="1" applyFont="1" applyFill="1" applyBorder="1" applyAlignment="1">
      <alignment horizontal="center" vertical="center"/>
    </xf>
    <xf numFmtId="43" fontId="2" fillId="4" borderId="24" xfId="1" applyFont="1" applyFill="1" applyBorder="1" applyAlignment="1">
      <alignment horizontal="center" vertical="center"/>
    </xf>
    <xf numFmtId="0" fontId="44" fillId="8" borderId="4" xfId="0" applyFont="1" applyFill="1" applyBorder="1" applyAlignment="1">
      <alignment horizontal="center" vertical="center"/>
    </xf>
    <xf numFmtId="0" fontId="44" fillId="8" borderId="6" xfId="0" applyFont="1" applyFill="1" applyBorder="1" applyAlignment="1">
      <alignment horizontal="center" vertical="center"/>
    </xf>
    <xf numFmtId="0" fontId="44" fillId="8" borderId="9" xfId="0" applyFont="1" applyFill="1" applyBorder="1" applyAlignment="1">
      <alignment horizontal="center" vertical="center"/>
    </xf>
    <xf numFmtId="0" fontId="44" fillId="8" borderId="11" xfId="0" applyFont="1" applyFill="1" applyBorder="1" applyAlignment="1">
      <alignment horizontal="center" vertical="center"/>
    </xf>
    <xf numFmtId="0" fontId="39" fillId="16" borderId="15" xfId="0" applyFont="1" applyFill="1" applyBorder="1" applyAlignment="1">
      <alignment horizontal="center" vertical="center"/>
    </xf>
    <xf numFmtId="0" fontId="39" fillId="16" borderId="20" xfId="0" applyFont="1" applyFill="1" applyBorder="1" applyAlignment="1">
      <alignment horizontal="center" vertical="center"/>
    </xf>
    <xf numFmtId="43" fontId="0" fillId="48" borderId="58" xfId="1" applyFont="1" applyFill="1" applyBorder="1" applyAlignment="1">
      <alignment horizontal="center" vertical="center"/>
    </xf>
    <xf numFmtId="43" fontId="0" fillId="48" borderId="59" xfId="1" applyFont="1" applyFill="1" applyBorder="1" applyAlignment="1">
      <alignment horizontal="center" vertical="center"/>
    </xf>
    <xf numFmtId="43" fontId="0" fillId="48" borderId="60" xfId="1" applyFont="1" applyFill="1" applyBorder="1" applyAlignment="1">
      <alignment horizontal="center" vertical="center"/>
    </xf>
    <xf numFmtId="0" fontId="2" fillId="39" borderId="15" xfId="0" applyFont="1" applyFill="1" applyBorder="1" applyAlignment="1">
      <alignment horizontal="center"/>
    </xf>
    <xf numFmtId="0" fontId="2" fillId="39" borderId="16" xfId="0" applyFont="1" applyFill="1" applyBorder="1" applyAlignment="1">
      <alignment horizontal="center"/>
    </xf>
    <xf numFmtId="0" fontId="2" fillId="39" borderId="20" xfId="0" applyFont="1" applyFill="1" applyBorder="1" applyAlignment="1">
      <alignment horizontal="center"/>
    </xf>
    <xf numFmtId="16" fontId="22" fillId="4" borderId="33" xfId="1" applyNumberFormat="1" applyFont="1" applyFill="1" applyBorder="1" applyAlignment="1">
      <alignment horizontal="center" vertical="center"/>
    </xf>
    <xf numFmtId="16" fontId="22" fillId="4" borderId="41" xfId="1" applyNumberFormat="1" applyFont="1" applyFill="1" applyBorder="1" applyAlignment="1">
      <alignment horizontal="center" vertical="center"/>
    </xf>
    <xf numFmtId="0" fontId="24" fillId="28" borderId="28" xfId="0" applyFont="1" applyFill="1" applyBorder="1" applyAlignment="1">
      <alignment horizontal="left"/>
    </xf>
    <xf numFmtId="0" fontId="24" fillId="28" borderId="55" xfId="0" applyFont="1" applyFill="1" applyBorder="1" applyAlignment="1">
      <alignment horizontal="left"/>
    </xf>
    <xf numFmtId="0" fontId="24" fillId="28" borderId="37" xfId="0" applyFont="1" applyFill="1" applyBorder="1" applyAlignment="1">
      <alignment horizontal="left"/>
    </xf>
    <xf numFmtId="0" fontId="24" fillId="28" borderId="9" xfId="0" applyFont="1" applyFill="1" applyBorder="1" applyAlignment="1">
      <alignment horizontal="left"/>
    </xf>
    <xf numFmtId="0" fontId="24" fillId="28" borderId="10" xfId="0" applyFont="1" applyFill="1" applyBorder="1" applyAlignment="1">
      <alignment horizontal="left"/>
    </xf>
    <xf numFmtId="0" fontId="24" fillId="16" borderId="52" xfId="0" applyFont="1" applyFill="1" applyBorder="1" applyAlignment="1">
      <alignment horizontal="left"/>
    </xf>
    <xf numFmtId="0" fontId="24" fillId="16" borderId="27" xfId="0" applyFont="1" applyFill="1" applyBorder="1" applyAlignment="1">
      <alignment horizontal="left"/>
    </xf>
    <xf numFmtId="0" fontId="20" fillId="31" borderId="0" xfId="0" applyFont="1" applyFill="1" applyBorder="1" applyAlignment="1">
      <alignment horizontal="center" vertical="center"/>
    </xf>
    <xf numFmtId="0" fontId="20" fillId="31" borderId="13" xfId="0" applyFont="1" applyFill="1" applyBorder="1" applyAlignment="1">
      <alignment horizontal="center" vertical="center"/>
    </xf>
    <xf numFmtId="0" fontId="24" fillId="16" borderId="25" xfId="0" applyFont="1" applyFill="1" applyBorder="1" applyAlignment="1">
      <alignment horizontal="left"/>
    </xf>
    <xf numFmtId="0" fontId="24" fillId="16" borderId="34" xfId="0" applyFont="1" applyFill="1" applyBorder="1" applyAlignment="1">
      <alignment horizontal="left"/>
    </xf>
    <xf numFmtId="0" fontId="24" fillId="16" borderId="28" xfId="0" applyFont="1" applyFill="1" applyBorder="1" applyAlignment="1">
      <alignment horizontal="left"/>
    </xf>
    <xf numFmtId="0" fontId="24" fillId="16" borderId="37" xfId="0" applyFont="1" applyFill="1" applyBorder="1" applyAlignment="1">
      <alignment horizontal="left"/>
    </xf>
    <xf numFmtId="0" fontId="57" fillId="57" borderId="33" xfId="0" applyFont="1" applyFill="1" applyBorder="1" applyAlignment="1">
      <alignment horizontal="center" vertical="center" textRotation="90"/>
    </xf>
    <xf numFmtId="0" fontId="57" fillId="57" borderId="36" xfId="0" applyFont="1" applyFill="1" applyBorder="1" applyAlignment="1">
      <alignment horizontal="center" vertical="center" textRotation="90"/>
    </xf>
    <xf numFmtId="0" fontId="57" fillId="57" borderId="41" xfId="0" applyFont="1" applyFill="1" applyBorder="1" applyAlignment="1">
      <alignment horizontal="center" vertical="center" textRotation="90"/>
    </xf>
    <xf numFmtId="0" fontId="23" fillId="2" borderId="53" xfId="0" applyFont="1" applyFill="1" applyBorder="1" applyAlignment="1">
      <alignment horizontal="left"/>
    </xf>
    <xf numFmtId="0" fontId="23" fillId="2" borderId="30" xfId="0" applyFont="1" applyFill="1" applyBorder="1" applyAlignment="1">
      <alignment horizontal="left"/>
    </xf>
    <xf numFmtId="0" fontId="24" fillId="28" borderId="52" xfId="0" applyFont="1" applyFill="1" applyBorder="1" applyAlignment="1">
      <alignment horizontal="left"/>
    </xf>
    <xf numFmtId="0" fontId="24" fillId="28" borderId="27" xfId="0" applyFont="1" applyFill="1" applyBorder="1" applyAlignment="1">
      <alignment horizontal="left"/>
    </xf>
    <xf numFmtId="0" fontId="24" fillId="16" borderId="51" xfId="0" applyFont="1" applyFill="1" applyBorder="1" applyAlignment="1">
      <alignment horizontal="left"/>
    </xf>
    <xf numFmtId="0" fontId="24" fillId="16" borderId="24" xfId="0" applyFont="1" applyFill="1" applyBorder="1" applyAlignment="1">
      <alignment horizontal="left"/>
    </xf>
    <xf numFmtId="0" fontId="23" fillId="2" borderId="63" xfId="0" applyFont="1" applyFill="1" applyBorder="1" applyAlignment="1">
      <alignment horizontal="left"/>
    </xf>
    <xf numFmtId="0" fontId="23" fillId="2" borderId="56" xfId="0" applyFont="1" applyFill="1" applyBorder="1" applyAlignment="1">
      <alignment horizontal="left"/>
    </xf>
    <xf numFmtId="0" fontId="23" fillId="2" borderId="39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center" vertical="center" textRotation="90"/>
    </xf>
    <xf numFmtId="0" fontId="27" fillId="17" borderId="36" xfId="0" applyFont="1" applyFill="1" applyBorder="1" applyAlignment="1">
      <alignment horizontal="center" vertical="center" textRotation="90"/>
    </xf>
    <xf numFmtId="0" fontId="27" fillId="17" borderId="41" xfId="0" applyFont="1" applyFill="1" applyBorder="1" applyAlignment="1">
      <alignment horizontal="center" vertical="center" textRotation="90"/>
    </xf>
    <xf numFmtId="0" fontId="26" fillId="36" borderId="33" xfId="0" applyFont="1" applyFill="1" applyBorder="1" applyAlignment="1">
      <alignment horizontal="center" vertical="center" textRotation="90"/>
    </xf>
    <xf numFmtId="0" fontId="26" fillId="36" borderId="36" xfId="0" applyFont="1" applyFill="1" applyBorder="1" applyAlignment="1">
      <alignment horizontal="center" vertical="center" textRotation="90"/>
    </xf>
    <xf numFmtId="0" fontId="26" fillId="36" borderId="41" xfId="0" applyFont="1" applyFill="1" applyBorder="1" applyAlignment="1">
      <alignment horizontal="center" vertical="center" textRotation="90"/>
    </xf>
    <xf numFmtId="0" fontId="27" fillId="37" borderId="33" xfId="0" applyFont="1" applyFill="1" applyBorder="1" applyAlignment="1">
      <alignment horizontal="center" vertical="center" textRotation="90"/>
    </xf>
    <xf numFmtId="0" fontId="27" fillId="37" borderId="36" xfId="0" applyFont="1" applyFill="1" applyBorder="1" applyAlignment="1">
      <alignment horizontal="center" vertical="center" textRotation="90"/>
    </xf>
    <xf numFmtId="0" fontId="27" fillId="37" borderId="41" xfId="0" applyFont="1" applyFill="1" applyBorder="1" applyAlignment="1">
      <alignment horizontal="center" vertical="center" textRotation="90"/>
    </xf>
    <xf numFmtId="0" fontId="27" fillId="38" borderId="3" xfId="0" applyFont="1" applyFill="1" applyBorder="1" applyAlignment="1">
      <alignment horizontal="center" vertical="center" textRotation="90"/>
    </xf>
    <xf numFmtId="0" fontId="27" fillId="38" borderId="8" xfId="0" applyFont="1" applyFill="1" applyBorder="1" applyAlignment="1">
      <alignment horizontal="center" vertical="center" textRotation="90"/>
    </xf>
    <xf numFmtId="0" fontId="0" fillId="36" borderId="9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58" fillId="39" borderId="15" xfId="0" applyFont="1" applyFill="1" applyBorder="1" applyAlignment="1">
      <alignment horizontal="center" vertical="center"/>
    </xf>
    <xf numFmtId="0" fontId="58" fillId="39" borderId="20" xfId="0" applyFont="1" applyFill="1" applyBorder="1" applyAlignment="1">
      <alignment horizontal="center" vertical="center"/>
    </xf>
    <xf numFmtId="0" fontId="58" fillId="39" borderId="1" xfId="0" applyFont="1" applyFill="1" applyBorder="1" applyAlignment="1">
      <alignment horizontal="center" vertical="center"/>
    </xf>
    <xf numFmtId="0" fontId="58" fillId="39" borderId="3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left"/>
    </xf>
    <xf numFmtId="0" fontId="23" fillId="2" borderId="57" xfId="0" applyFont="1" applyFill="1" applyBorder="1" applyAlignment="1">
      <alignment horizontal="left"/>
    </xf>
    <xf numFmtId="0" fontId="41" fillId="38" borderId="17" xfId="0" applyFont="1" applyFill="1" applyBorder="1" applyAlignment="1">
      <alignment horizontal="center"/>
    </xf>
    <xf numFmtId="0" fontId="41" fillId="38" borderId="18" xfId="0" applyFont="1" applyFill="1" applyBorder="1" applyAlignment="1">
      <alignment horizontal="center"/>
    </xf>
    <xf numFmtId="0" fontId="41" fillId="38" borderId="19" xfId="0" applyFont="1" applyFill="1" applyBorder="1" applyAlignment="1">
      <alignment horizontal="center"/>
    </xf>
    <xf numFmtId="0" fontId="24" fillId="35" borderId="17" xfId="0" applyFont="1" applyFill="1" applyBorder="1" applyAlignment="1">
      <alignment horizontal="left"/>
    </xf>
    <xf numFmtId="0" fontId="24" fillId="35" borderId="18" xfId="0" applyFont="1" applyFill="1" applyBorder="1" applyAlignment="1">
      <alignment horizontal="left"/>
    </xf>
    <xf numFmtId="0" fontId="24" fillId="16" borderId="50" xfId="0" applyFont="1" applyFill="1" applyBorder="1" applyAlignment="1">
      <alignment horizontal="left"/>
    </xf>
    <xf numFmtId="0" fontId="24" fillId="16" borderId="75" xfId="0" applyFont="1" applyFill="1" applyBorder="1" applyAlignment="1">
      <alignment horizontal="left"/>
    </xf>
    <xf numFmtId="0" fontId="24" fillId="35" borderId="53" xfId="0" applyFont="1" applyFill="1" applyBorder="1" applyAlignment="1">
      <alignment horizontal="left"/>
    </xf>
    <xf numFmtId="0" fontId="24" fillId="35" borderId="30" xfId="0" applyFont="1" applyFill="1" applyBorder="1" applyAlignment="1">
      <alignment horizontal="left"/>
    </xf>
    <xf numFmtId="0" fontId="24" fillId="16" borderId="46" xfId="0" applyFont="1" applyFill="1" applyBorder="1" applyAlignment="1">
      <alignment horizontal="left"/>
    </xf>
    <xf numFmtId="0" fontId="24" fillId="16" borderId="55" xfId="0" applyFont="1" applyFill="1" applyBorder="1" applyAlignment="1">
      <alignment horizontal="left"/>
    </xf>
    <xf numFmtId="0" fontId="24" fillId="16" borderId="10" xfId="0" applyFont="1" applyFill="1" applyBorder="1" applyAlignment="1">
      <alignment horizontal="left"/>
    </xf>
    <xf numFmtId="0" fontId="24" fillId="16" borderId="11" xfId="0" applyFont="1" applyFill="1" applyBorder="1" applyAlignment="1">
      <alignment horizontal="left"/>
    </xf>
    <xf numFmtId="0" fontId="24" fillId="35" borderId="43" xfId="0" applyFont="1" applyFill="1" applyBorder="1" applyAlignment="1">
      <alignment horizontal="left"/>
    </xf>
    <xf numFmtId="0" fontId="24" fillId="35" borderId="50" xfId="0" applyFont="1" applyFill="1" applyBorder="1" applyAlignment="1">
      <alignment horizontal="left"/>
    </xf>
    <xf numFmtId="0" fontId="24" fillId="35" borderId="64" xfId="0" applyFont="1" applyFill="1" applyBorder="1" applyAlignment="1">
      <alignment horizontal="left"/>
    </xf>
    <xf numFmtId="0" fontId="24" fillId="35" borderId="65" xfId="0" applyFont="1" applyFill="1" applyBorder="1" applyAlignment="1">
      <alignment horizontal="left"/>
    </xf>
    <xf numFmtId="0" fontId="24" fillId="16" borderId="5" xfId="0" applyFont="1" applyFill="1" applyBorder="1" applyAlignment="1">
      <alignment horizontal="left"/>
    </xf>
    <xf numFmtId="0" fontId="24" fillId="16" borderId="6" xfId="0" applyFont="1" applyFill="1" applyBorder="1" applyAlignment="1">
      <alignment horizontal="left"/>
    </xf>
    <xf numFmtId="0" fontId="50" fillId="14" borderId="1" xfId="0" applyFont="1" applyFill="1" applyBorder="1" applyAlignment="1">
      <alignment horizontal="center" vertical="center" textRotation="90"/>
    </xf>
    <xf numFmtId="0" fontId="50" fillId="14" borderId="7" xfId="0" applyFont="1" applyFill="1" applyBorder="1" applyAlignment="1">
      <alignment horizontal="center" vertical="center" textRotation="90"/>
    </xf>
    <xf numFmtId="0" fontId="50" fillId="14" borderId="12" xfId="0" applyFont="1" applyFill="1" applyBorder="1" applyAlignment="1">
      <alignment horizontal="center" vertical="center" textRotation="90"/>
    </xf>
    <xf numFmtId="0" fontId="49" fillId="2" borderId="33" xfId="0" applyFont="1" applyFill="1" applyBorder="1" applyAlignment="1">
      <alignment horizontal="center" vertical="center" textRotation="90"/>
    </xf>
    <xf numFmtId="0" fontId="49" fillId="2" borderId="36" xfId="0" applyFont="1" applyFill="1" applyBorder="1" applyAlignment="1">
      <alignment horizontal="center" vertical="center" textRotation="90"/>
    </xf>
    <xf numFmtId="0" fontId="49" fillId="2" borderId="41" xfId="0" applyFont="1" applyFill="1" applyBorder="1" applyAlignment="1">
      <alignment horizontal="center" vertical="center" textRotation="90"/>
    </xf>
    <xf numFmtId="0" fontId="23" fillId="2" borderId="42" xfId="0" applyFont="1" applyFill="1" applyBorder="1" applyAlignment="1">
      <alignment horizontal="left"/>
    </xf>
    <xf numFmtId="0" fontId="50" fillId="8" borderId="33" xfId="0" applyFont="1" applyFill="1" applyBorder="1" applyAlignment="1">
      <alignment horizontal="center" vertical="center" textRotation="90" wrapText="1"/>
    </xf>
    <xf numFmtId="0" fontId="50" fillId="8" borderId="36" xfId="0" applyFont="1" applyFill="1" applyBorder="1" applyAlignment="1">
      <alignment horizontal="center" vertical="center" textRotation="90" wrapText="1"/>
    </xf>
    <xf numFmtId="0" fontId="50" fillId="8" borderId="41" xfId="0" applyFont="1" applyFill="1" applyBorder="1" applyAlignment="1">
      <alignment horizontal="center" vertical="center" textRotation="90" wrapText="1"/>
    </xf>
    <xf numFmtId="0" fontId="23" fillId="2" borderId="64" xfId="0" applyFont="1" applyFill="1" applyBorder="1" applyAlignment="1">
      <alignment horizontal="left"/>
    </xf>
    <xf numFmtId="0" fontId="23" fillId="2" borderId="65" xfId="0" applyFont="1" applyFill="1" applyBorder="1" applyAlignment="1">
      <alignment horizontal="left"/>
    </xf>
    <xf numFmtId="43" fontId="28" fillId="15" borderId="10" xfId="1" applyFont="1" applyFill="1" applyBorder="1" applyAlignment="1">
      <alignment horizontal="center" vertical="center" wrapText="1"/>
    </xf>
    <xf numFmtId="43" fontId="28" fillId="18" borderId="10" xfId="1" applyFont="1" applyFill="1" applyBorder="1" applyAlignment="1">
      <alignment horizontal="center" vertical="center" wrapText="1"/>
    </xf>
    <xf numFmtId="43" fontId="28" fillId="19" borderId="10" xfId="1" applyFont="1" applyFill="1" applyBorder="1" applyAlignment="1">
      <alignment horizontal="center" vertical="center" wrapText="1"/>
    </xf>
    <xf numFmtId="43" fontId="28" fillId="15" borderId="52" xfId="1" applyFont="1" applyFill="1" applyBorder="1" applyAlignment="1">
      <alignment horizontal="center" vertical="center" wrapText="1"/>
    </xf>
    <xf numFmtId="43" fontId="28" fillId="39" borderId="33" xfId="1" applyFont="1" applyFill="1" applyBorder="1" applyAlignment="1">
      <alignment horizontal="center" vertical="center" wrapText="1"/>
    </xf>
    <xf numFmtId="43" fontId="28" fillId="39" borderId="41" xfId="1" applyFont="1" applyFill="1" applyBorder="1" applyAlignment="1">
      <alignment horizontal="center" vertical="center" wrapText="1"/>
    </xf>
    <xf numFmtId="0" fontId="42" fillId="47" borderId="1" xfId="0" applyFont="1" applyFill="1" applyBorder="1" applyAlignment="1">
      <alignment horizontal="center" vertical="center"/>
    </xf>
    <xf numFmtId="0" fontId="42" fillId="47" borderId="2" xfId="0" applyFont="1" applyFill="1" applyBorder="1" applyAlignment="1">
      <alignment horizontal="center" vertical="center"/>
    </xf>
    <xf numFmtId="0" fontId="42" fillId="47" borderId="3" xfId="0" applyFont="1" applyFill="1" applyBorder="1" applyAlignment="1">
      <alignment horizontal="center" vertical="center"/>
    </xf>
    <xf numFmtId="0" fontId="42" fillId="37" borderId="12" xfId="0" applyFont="1" applyFill="1" applyBorder="1" applyAlignment="1">
      <alignment horizontal="center" vertical="center"/>
    </xf>
    <xf numFmtId="0" fontId="42" fillId="37" borderId="13" xfId="0" applyFont="1" applyFill="1" applyBorder="1" applyAlignment="1">
      <alignment horizontal="center" vertical="center"/>
    </xf>
    <xf numFmtId="0" fontId="42" fillId="37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3" fontId="7" fillId="14" borderId="15" xfId="1" applyFont="1" applyFill="1" applyBorder="1" applyAlignment="1">
      <alignment horizontal="center" vertical="center"/>
    </xf>
    <xf numFmtId="43" fontId="7" fillId="14" borderId="16" xfId="1" applyFont="1" applyFill="1" applyBorder="1" applyAlignment="1">
      <alignment horizontal="center" vertical="center"/>
    </xf>
    <xf numFmtId="43" fontId="7" fillId="14" borderId="20" xfId="1" applyFont="1" applyFill="1" applyBorder="1" applyAlignment="1">
      <alignment horizontal="center" vertical="center"/>
    </xf>
    <xf numFmtId="43" fontId="3" fillId="31" borderId="58" xfId="1" applyFont="1" applyFill="1" applyBorder="1" applyAlignment="1">
      <alignment horizontal="right" vertical="center"/>
    </xf>
    <xf numFmtId="43" fontId="3" fillId="31" borderId="59" xfId="1" applyFont="1" applyFill="1" applyBorder="1" applyAlignment="1">
      <alignment horizontal="right" vertical="center"/>
    </xf>
    <xf numFmtId="43" fontId="3" fillId="31" borderId="60" xfId="1" applyFont="1" applyFill="1" applyBorder="1" applyAlignment="1">
      <alignment horizontal="right" vertical="center"/>
    </xf>
    <xf numFmtId="43" fontId="3" fillId="12" borderId="15" xfId="1" applyFont="1" applyFill="1" applyBorder="1" applyAlignment="1">
      <alignment horizontal="center" vertical="center"/>
    </xf>
    <xf numFmtId="43" fontId="3" fillId="12" borderId="16" xfId="1" applyFont="1" applyFill="1" applyBorder="1" applyAlignment="1">
      <alignment horizontal="center" vertical="center"/>
    </xf>
    <xf numFmtId="43" fontId="3" fillId="12" borderId="20" xfId="1" applyFont="1" applyFill="1" applyBorder="1" applyAlignment="1">
      <alignment horizontal="center" vertical="center"/>
    </xf>
    <xf numFmtId="43" fontId="3" fillId="34" borderId="15" xfId="1" applyFont="1" applyFill="1" applyBorder="1" applyAlignment="1">
      <alignment horizontal="center" vertical="center"/>
    </xf>
    <xf numFmtId="43" fontId="3" fillId="34" borderId="16" xfId="1" applyFont="1" applyFill="1" applyBorder="1" applyAlignment="1">
      <alignment horizontal="center" vertical="center"/>
    </xf>
    <xf numFmtId="43" fontId="3" fillId="34" borderId="20" xfId="1" applyFont="1" applyFill="1" applyBorder="1" applyAlignment="1">
      <alignment horizontal="center" vertical="center"/>
    </xf>
    <xf numFmtId="43" fontId="6" fillId="3" borderId="4" xfId="1" applyFont="1" applyFill="1" applyBorder="1" applyAlignment="1">
      <alignment horizontal="center" vertical="center"/>
    </xf>
    <xf numFmtId="43" fontId="6" fillId="3" borderId="5" xfId="1" applyFont="1" applyFill="1" applyBorder="1" applyAlignment="1">
      <alignment horizontal="center" vertical="center"/>
    </xf>
    <xf numFmtId="43" fontId="6" fillId="3" borderId="6" xfId="1" applyFont="1" applyFill="1" applyBorder="1" applyAlignment="1">
      <alignment horizontal="center" vertical="center"/>
    </xf>
    <xf numFmtId="43" fontId="7" fillId="4" borderId="9" xfId="1" applyFont="1" applyFill="1" applyBorder="1" applyAlignment="1">
      <alignment horizontal="center" vertical="center"/>
    </xf>
    <xf numFmtId="43" fontId="7" fillId="4" borderId="10" xfId="1" applyFont="1" applyFill="1" applyBorder="1" applyAlignment="1">
      <alignment horizontal="center" vertical="center"/>
    </xf>
    <xf numFmtId="43" fontId="7" fillId="4" borderId="11" xfId="1" applyFont="1" applyFill="1" applyBorder="1" applyAlignment="1">
      <alignment horizontal="center" vertical="center"/>
    </xf>
    <xf numFmtId="43" fontId="6" fillId="7" borderId="21" xfId="1" applyFont="1" applyFill="1" applyBorder="1" applyAlignment="1">
      <alignment horizontal="center" vertical="center"/>
    </xf>
    <xf numFmtId="43" fontId="6" fillId="7" borderId="22" xfId="1" applyFont="1" applyFill="1" applyBorder="1" applyAlignment="1">
      <alignment horizontal="center" vertical="center"/>
    </xf>
    <xf numFmtId="43" fontId="6" fillId="7" borderId="23" xfId="1" applyFont="1" applyFill="1" applyBorder="1" applyAlignment="1">
      <alignment horizontal="center" vertical="center"/>
    </xf>
    <xf numFmtId="43" fontId="6" fillId="10" borderId="1" xfId="1" applyFont="1" applyFill="1" applyBorder="1" applyAlignment="1">
      <alignment horizontal="center" vertical="center"/>
    </xf>
    <xf numFmtId="43" fontId="6" fillId="10" borderId="2" xfId="1" applyFont="1" applyFill="1" applyBorder="1" applyAlignment="1">
      <alignment horizontal="center" vertical="center"/>
    </xf>
    <xf numFmtId="43" fontId="6" fillId="10" borderId="3" xfId="1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 wrapText="1" readingOrder="1"/>
    </xf>
    <xf numFmtId="0" fontId="6" fillId="12" borderId="16" xfId="0" applyFont="1" applyFill="1" applyBorder="1" applyAlignment="1">
      <alignment horizontal="center" vertical="center" wrapText="1" readingOrder="1"/>
    </xf>
    <xf numFmtId="0" fontId="6" fillId="12" borderId="20" xfId="0" applyFont="1" applyFill="1" applyBorder="1" applyAlignment="1">
      <alignment horizontal="center" vertical="center" wrapText="1" readingOrder="1"/>
    </xf>
    <xf numFmtId="43" fontId="6" fillId="21" borderId="15" xfId="1" applyFont="1" applyFill="1" applyBorder="1" applyAlignment="1">
      <alignment horizontal="center" vertical="center"/>
    </xf>
    <xf numFmtId="43" fontId="6" fillId="21" borderId="16" xfId="1" applyFont="1" applyFill="1" applyBorder="1" applyAlignment="1">
      <alignment horizontal="center" vertical="center"/>
    </xf>
    <xf numFmtId="43" fontId="6" fillId="21" borderId="20" xfId="1" applyFont="1" applyFill="1" applyBorder="1" applyAlignment="1">
      <alignment horizontal="center" vertical="center"/>
    </xf>
    <xf numFmtId="43" fontId="6" fillId="25" borderId="15" xfId="1" applyFont="1" applyFill="1" applyBorder="1" applyAlignment="1">
      <alignment horizontal="center" vertical="center"/>
    </xf>
    <xf numFmtId="43" fontId="6" fillId="25" borderId="16" xfId="1" applyFont="1" applyFill="1" applyBorder="1" applyAlignment="1">
      <alignment horizontal="center" vertical="center"/>
    </xf>
    <xf numFmtId="43" fontId="6" fillId="25" borderId="20" xfId="1" applyFont="1" applyFill="1" applyBorder="1" applyAlignment="1">
      <alignment horizontal="center" vertical="center"/>
    </xf>
    <xf numFmtId="43" fontId="3" fillId="29" borderId="15" xfId="1" applyFont="1" applyFill="1" applyBorder="1" applyAlignment="1">
      <alignment horizontal="center" vertical="center"/>
    </xf>
    <xf numFmtId="43" fontId="3" fillId="29" borderId="16" xfId="1" applyFont="1" applyFill="1" applyBorder="1" applyAlignment="1">
      <alignment horizontal="center" vertical="center"/>
    </xf>
    <xf numFmtId="43" fontId="3" fillId="29" borderId="20" xfId="1" applyFont="1" applyFill="1" applyBorder="1" applyAlignment="1">
      <alignment horizontal="center" vertical="center"/>
    </xf>
    <xf numFmtId="43" fontId="3" fillId="12" borderId="1" xfId="1" applyFont="1" applyFill="1" applyBorder="1" applyAlignment="1">
      <alignment horizontal="center" vertical="center"/>
    </xf>
    <xf numFmtId="43" fontId="3" fillId="12" borderId="2" xfId="1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 wrapText="1" readingOrder="1"/>
    </xf>
    <xf numFmtId="0" fontId="6" fillId="13" borderId="15" xfId="0" applyFont="1" applyFill="1" applyBorder="1" applyAlignment="1">
      <alignment horizontal="center" vertical="center" wrapText="1" readingOrder="1"/>
    </xf>
    <xf numFmtId="0" fontId="6" fillId="13" borderId="16" xfId="0" applyFont="1" applyFill="1" applyBorder="1" applyAlignment="1">
      <alignment horizontal="center" vertical="center" wrapText="1" readingOrder="1"/>
    </xf>
    <xf numFmtId="0" fontId="6" fillId="13" borderId="20" xfId="0" applyFont="1" applyFill="1" applyBorder="1" applyAlignment="1">
      <alignment horizontal="center" vertical="center" wrapText="1" readingOrder="1"/>
    </xf>
    <xf numFmtId="0" fontId="9" fillId="11" borderId="2" xfId="0" applyFont="1" applyFill="1" applyBorder="1" applyAlignment="1">
      <alignment horizontal="right" vertical="center"/>
    </xf>
    <xf numFmtId="0" fontId="9" fillId="11" borderId="0" xfId="0" applyFont="1" applyFill="1" applyAlignment="1">
      <alignment horizontal="right" vertical="center"/>
    </xf>
    <xf numFmtId="0" fontId="7" fillId="6" borderId="1" xfId="0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7" fillId="6" borderId="12" xfId="0" applyFont="1" applyFill="1" applyBorder="1" applyAlignment="1">
      <alignment horizontal="right" vertical="center"/>
    </xf>
    <xf numFmtId="0" fontId="7" fillId="6" borderId="13" xfId="0" applyFont="1" applyFill="1" applyBorder="1" applyAlignment="1">
      <alignment horizontal="right" vertical="center"/>
    </xf>
    <xf numFmtId="0" fontId="6" fillId="10" borderId="1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right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20" xfId="0" applyFont="1" applyFill="1" applyBorder="1" applyAlignment="1">
      <alignment horizontal="center" vertical="center"/>
    </xf>
    <xf numFmtId="0" fontId="7" fillId="14" borderId="33" xfId="0" applyFont="1" applyFill="1" applyBorder="1" applyAlignment="1">
      <alignment horizontal="center" vertical="center" textRotation="90"/>
    </xf>
    <xf numFmtId="0" fontId="7" fillId="14" borderId="36" xfId="0" applyFont="1" applyFill="1" applyBorder="1" applyAlignment="1">
      <alignment horizontal="center" vertical="center" textRotation="90"/>
    </xf>
    <xf numFmtId="0" fontId="7" fillId="14" borderId="41" xfId="0" applyFont="1" applyFill="1" applyBorder="1" applyAlignment="1">
      <alignment horizontal="center" vertical="center" textRotation="90"/>
    </xf>
    <xf numFmtId="0" fontId="11" fillId="15" borderId="26" xfId="0" applyFont="1" applyFill="1" applyBorder="1" applyAlignment="1">
      <alignment horizontal="center" vertical="center" wrapText="1"/>
    </xf>
    <xf numFmtId="0" fontId="11" fillId="15" borderId="29" xfId="0" applyFont="1" applyFill="1" applyBorder="1" applyAlignment="1">
      <alignment horizontal="center" vertical="center" wrapText="1"/>
    </xf>
    <xf numFmtId="0" fontId="11" fillId="15" borderId="38" xfId="0" applyFont="1" applyFill="1" applyBorder="1" applyAlignment="1">
      <alignment horizontal="center" vertical="center" wrapText="1"/>
    </xf>
    <xf numFmtId="0" fontId="11" fillId="18" borderId="26" xfId="0" applyFont="1" applyFill="1" applyBorder="1" applyAlignment="1">
      <alignment horizontal="center" vertical="center" wrapText="1"/>
    </xf>
    <xf numFmtId="0" fontId="11" fillId="18" borderId="38" xfId="0" applyFont="1" applyFill="1" applyBorder="1" applyAlignment="1">
      <alignment horizontal="center" vertical="center" wrapText="1"/>
    </xf>
    <xf numFmtId="0" fontId="11" fillId="19" borderId="26" xfId="0" applyFont="1" applyFill="1" applyBorder="1" applyAlignment="1">
      <alignment horizontal="center" vertical="center" wrapText="1"/>
    </xf>
    <xf numFmtId="0" fontId="11" fillId="19" borderId="29" xfId="0" applyFont="1" applyFill="1" applyBorder="1" applyAlignment="1">
      <alignment horizontal="center" vertical="center" wrapText="1"/>
    </xf>
    <xf numFmtId="0" fontId="11" fillId="19" borderId="38" xfId="0" applyFont="1" applyFill="1" applyBorder="1" applyAlignment="1">
      <alignment horizontal="center" vertical="center" wrapText="1"/>
    </xf>
    <xf numFmtId="0" fontId="11" fillId="15" borderId="32" xfId="0" applyFont="1" applyFill="1" applyBorder="1" applyAlignment="1">
      <alignment horizontal="center" vertical="center" wrapText="1"/>
    </xf>
    <xf numFmtId="0" fontId="6" fillId="20" borderId="15" xfId="0" applyFont="1" applyFill="1" applyBorder="1" applyAlignment="1">
      <alignment horizontal="left" vertical="center"/>
    </xf>
    <xf numFmtId="0" fontId="6" fillId="20" borderId="16" xfId="0" applyFont="1" applyFill="1" applyBorder="1" applyAlignment="1">
      <alignment horizontal="left" vertical="center"/>
    </xf>
    <xf numFmtId="0" fontId="6" fillId="20" borderId="20" xfId="0" applyFont="1" applyFill="1" applyBorder="1" applyAlignment="1">
      <alignment horizontal="left" vertical="center"/>
    </xf>
    <xf numFmtId="0" fontId="6" fillId="24" borderId="15" xfId="0" applyFont="1" applyFill="1" applyBorder="1" applyAlignment="1">
      <alignment horizontal="left" vertical="center"/>
    </xf>
    <xf numFmtId="0" fontId="6" fillId="24" borderId="16" xfId="0" applyFont="1" applyFill="1" applyBorder="1" applyAlignment="1">
      <alignment horizontal="left" vertical="center"/>
    </xf>
    <xf numFmtId="0" fontId="6" fillId="24" borderId="20" xfId="0" applyFont="1" applyFill="1" applyBorder="1" applyAlignment="1">
      <alignment horizontal="left" vertical="center"/>
    </xf>
    <xf numFmtId="43" fontId="6" fillId="25" borderId="25" xfId="1" applyFont="1" applyFill="1" applyBorder="1" applyAlignment="1">
      <alignment horizontal="center" vertical="center"/>
    </xf>
    <xf numFmtId="43" fontId="6" fillId="25" borderId="46" xfId="1" applyFont="1" applyFill="1" applyBorder="1" applyAlignment="1">
      <alignment horizontal="center" vertical="center"/>
    </xf>
    <xf numFmtId="43" fontId="6" fillId="25" borderId="24" xfId="1" applyFont="1" applyFill="1" applyBorder="1" applyAlignment="1">
      <alignment horizontal="center" vertical="center"/>
    </xf>
    <xf numFmtId="43" fontId="6" fillId="21" borderId="25" xfId="1" applyFont="1" applyFill="1" applyBorder="1" applyAlignment="1">
      <alignment horizontal="center" vertical="center"/>
    </xf>
    <xf numFmtId="43" fontId="6" fillId="21" borderId="46" xfId="1" applyFont="1" applyFill="1" applyBorder="1" applyAlignment="1">
      <alignment horizontal="center" vertical="center"/>
    </xf>
    <xf numFmtId="43" fontId="6" fillId="21" borderId="24" xfId="1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left" vertical="center"/>
    </xf>
    <xf numFmtId="0" fontId="3" fillId="12" borderId="20" xfId="0" applyFont="1" applyFill="1" applyBorder="1" applyAlignment="1">
      <alignment horizontal="left" vertical="center"/>
    </xf>
    <xf numFmtId="0" fontId="3" fillId="29" borderId="15" xfId="0" applyFont="1" applyFill="1" applyBorder="1" applyAlignment="1">
      <alignment horizontal="left" vertical="center"/>
    </xf>
    <xf numFmtId="0" fontId="3" fillId="29" borderId="16" xfId="0" applyFont="1" applyFill="1" applyBorder="1" applyAlignment="1">
      <alignment horizontal="left" vertical="center"/>
    </xf>
    <xf numFmtId="0" fontId="3" fillId="29" borderId="20" xfId="0" applyFont="1" applyFill="1" applyBorder="1" applyAlignment="1">
      <alignment horizontal="left" vertical="center"/>
    </xf>
    <xf numFmtId="0" fontId="7" fillId="14" borderId="15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20" xfId="0" applyFont="1" applyFill="1" applyBorder="1" applyAlignment="1">
      <alignment horizontal="left" vertical="center"/>
    </xf>
    <xf numFmtId="0" fontId="6" fillId="31" borderId="15" xfId="0" applyFont="1" applyFill="1" applyBorder="1" applyAlignment="1">
      <alignment horizontal="left" vertical="center"/>
    </xf>
    <xf numFmtId="0" fontId="6" fillId="31" borderId="16" xfId="0" applyFont="1" applyFill="1" applyBorder="1" applyAlignment="1">
      <alignment horizontal="left" vertical="center"/>
    </xf>
    <xf numFmtId="0" fontId="6" fillId="31" borderId="20" xfId="0" applyFont="1" applyFill="1" applyBorder="1" applyAlignment="1">
      <alignment horizontal="left" vertical="center"/>
    </xf>
    <xf numFmtId="43" fontId="3" fillId="31" borderId="4" xfId="1" applyFont="1" applyFill="1" applyBorder="1" applyAlignment="1">
      <alignment horizontal="right" vertical="center"/>
    </xf>
    <xf numFmtId="43" fontId="3" fillId="31" borderId="5" xfId="1" applyFont="1" applyFill="1" applyBorder="1" applyAlignment="1">
      <alignment horizontal="right" vertical="center"/>
    </xf>
    <xf numFmtId="43" fontId="3" fillId="31" borderId="6" xfId="1" applyFont="1" applyFill="1" applyBorder="1" applyAlignment="1">
      <alignment horizontal="right" vertical="center"/>
    </xf>
    <xf numFmtId="0" fontId="6" fillId="12" borderId="15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12" borderId="20" xfId="0" applyFont="1" applyFill="1" applyBorder="1" applyAlignment="1">
      <alignment horizontal="left" vertical="center"/>
    </xf>
    <xf numFmtId="43" fontId="3" fillId="12" borderId="3" xfId="1" applyFont="1" applyFill="1" applyBorder="1" applyAlignment="1">
      <alignment horizontal="center" vertical="center"/>
    </xf>
    <xf numFmtId="0" fontId="6" fillId="33" borderId="15" xfId="0" applyFont="1" applyFill="1" applyBorder="1" applyAlignment="1">
      <alignment horizontal="left" vertical="center"/>
    </xf>
    <xf numFmtId="0" fontId="6" fillId="33" borderId="16" xfId="0" applyFont="1" applyFill="1" applyBorder="1" applyAlignment="1">
      <alignment horizontal="left" vertical="center"/>
    </xf>
    <xf numFmtId="0" fontId="6" fillId="33" borderId="20" xfId="0" applyFont="1" applyFill="1" applyBorder="1" applyAlignment="1">
      <alignment horizontal="left" vertical="center"/>
    </xf>
    <xf numFmtId="43" fontId="3" fillId="34" borderId="1" xfId="1" applyFont="1" applyFill="1" applyBorder="1" applyAlignment="1">
      <alignment horizontal="center" vertical="center"/>
    </xf>
    <xf numFmtId="43" fontId="3" fillId="34" borderId="2" xfId="1" applyFont="1" applyFill="1" applyBorder="1" applyAlignment="1">
      <alignment horizontal="center" vertical="center"/>
    </xf>
    <xf numFmtId="43" fontId="3" fillId="34" borderId="3" xfId="1" applyFont="1" applyFill="1" applyBorder="1" applyAlignment="1">
      <alignment horizontal="center" vertical="center"/>
    </xf>
  </cellXfs>
  <cellStyles count="8">
    <cellStyle name="Comma 2" xfId="3"/>
    <cellStyle name="Currency 2" xfId="5"/>
    <cellStyle name="Hipervínculo" xfId="7" builtinId="8"/>
    <cellStyle name="Millares" xfId="1" builtinId="3"/>
    <cellStyle name="Normal" xfId="0" builtinId="0"/>
    <cellStyle name="Normal 4" xfId="4"/>
    <cellStyle name="Normal 5" xfId="6"/>
    <cellStyle name="Porcentaje" xfId="2" builtinId="5"/>
  </cellStyles>
  <dxfs count="38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CE235"/>
      <color rgb="FF00CCFF"/>
      <color rgb="FF00A8D0"/>
      <color rgb="FF0B7C93"/>
      <color rgb="FFFF9966"/>
      <color rgb="FFCCCC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raciones_MX.01.OP/Servicios%20Grales.de%20Mantto_15.2/Proyectos_06/Vigentes/RMC/2019/Enercon%202019/Consumo%20modulos%20SMD%20y%20FMD/Meters%20Canada%20y%20Nacio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peraciones_MX.01.OP/Servicios%20Grales.de%20Mantto_15.2/Proyectos_06/Vigentes/RMC/2019/Enercon%202019/Consumo%20modulos%20SMD%20y%20FMD/Medidores%20planta%20canad&#225;/Consumo%20diario%20-%20M&#243;du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OS CANADA - NORTE"/>
      <sheetName val="SD"/>
      <sheetName val="CONSUMO21AGOS19"/>
      <sheetName val="Sheet1"/>
      <sheetName val="MOdulos y Pizarras"/>
    </sheetNames>
    <sheetDataSet>
      <sheetData sheetId="0">
        <row r="1">
          <cell r="B1">
            <v>43465</v>
          </cell>
          <cell r="C1">
            <v>43466</v>
          </cell>
          <cell r="D1">
            <v>43467</v>
          </cell>
          <cell r="E1">
            <v>43468</v>
          </cell>
          <cell r="F1">
            <v>43469</v>
          </cell>
          <cell r="G1">
            <v>43470</v>
          </cell>
          <cell r="H1">
            <v>43471</v>
          </cell>
          <cell r="I1">
            <v>43472</v>
          </cell>
          <cell r="J1">
            <v>43473</v>
          </cell>
          <cell r="K1">
            <v>43474</v>
          </cell>
          <cell r="L1">
            <v>43475</v>
          </cell>
          <cell r="M1">
            <v>43476</v>
          </cell>
          <cell r="N1">
            <v>43477</v>
          </cell>
          <cell r="O1">
            <v>43478</v>
          </cell>
          <cell r="P1">
            <v>43479</v>
          </cell>
          <cell r="Q1">
            <v>43480</v>
          </cell>
          <cell r="R1">
            <v>43481</v>
          </cell>
          <cell r="S1">
            <v>43482</v>
          </cell>
          <cell r="T1">
            <v>43483</v>
          </cell>
          <cell r="U1">
            <v>43484</v>
          </cell>
          <cell r="V1">
            <v>43485</v>
          </cell>
          <cell r="W1">
            <v>43486</v>
          </cell>
          <cell r="X1">
            <v>43487</v>
          </cell>
          <cell r="Y1">
            <v>43488</v>
          </cell>
          <cell r="Z1">
            <v>43489</v>
          </cell>
          <cell r="AA1">
            <v>43490</v>
          </cell>
          <cell r="AB1">
            <v>43491</v>
          </cell>
          <cell r="AC1">
            <v>43492</v>
          </cell>
          <cell r="AD1">
            <v>43493</v>
          </cell>
          <cell r="AE1">
            <v>43494</v>
          </cell>
          <cell r="AF1">
            <v>43495</v>
          </cell>
          <cell r="AG1">
            <v>43496</v>
          </cell>
          <cell r="AH1">
            <v>43497</v>
          </cell>
          <cell r="AI1">
            <v>43498</v>
          </cell>
          <cell r="AJ1">
            <v>43499</v>
          </cell>
          <cell r="AK1">
            <v>43500</v>
          </cell>
          <cell r="AL1">
            <v>43501</v>
          </cell>
          <cell r="AM1">
            <v>43502</v>
          </cell>
          <cell r="AN1">
            <v>43503</v>
          </cell>
          <cell r="AO1">
            <v>43504</v>
          </cell>
          <cell r="AP1">
            <v>43505</v>
          </cell>
          <cell r="AQ1">
            <v>43506</v>
          </cell>
          <cell r="AR1">
            <v>43507</v>
          </cell>
          <cell r="AS1">
            <v>43508</v>
          </cell>
          <cell r="AT1">
            <v>43509</v>
          </cell>
          <cell r="AU1">
            <v>43510</v>
          </cell>
          <cell r="AV1">
            <v>43511</v>
          </cell>
          <cell r="AW1">
            <v>43512</v>
          </cell>
          <cell r="AX1">
            <v>43513</v>
          </cell>
          <cell r="AY1">
            <v>43514</v>
          </cell>
          <cell r="AZ1">
            <v>43515</v>
          </cell>
          <cell r="BA1">
            <v>43516</v>
          </cell>
          <cell r="BB1">
            <v>43517</v>
          </cell>
          <cell r="BC1">
            <v>43518</v>
          </cell>
          <cell r="BD1">
            <v>43519</v>
          </cell>
          <cell r="BE1">
            <v>43520</v>
          </cell>
          <cell r="BF1">
            <v>43521</v>
          </cell>
          <cell r="BG1">
            <v>43522</v>
          </cell>
          <cell r="BH1">
            <v>43523</v>
          </cell>
          <cell r="BI1">
            <v>43524</v>
          </cell>
          <cell r="BJ1">
            <v>43525</v>
          </cell>
          <cell r="BK1">
            <v>43526</v>
          </cell>
          <cell r="BL1">
            <v>43527</v>
          </cell>
          <cell r="BM1">
            <v>43528</v>
          </cell>
          <cell r="BN1">
            <v>43529</v>
          </cell>
          <cell r="BO1">
            <v>43530</v>
          </cell>
          <cell r="BP1">
            <v>43531</v>
          </cell>
          <cell r="BQ1">
            <v>43532</v>
          </cell>
          <cell r="BR1">
            <v>43533</v>
          </cell>
          <cell r="BS1">
            <v>43534</v>
          </cell>
          <cell r="BT1">
            <v>43535</v>
          </cell>
          <cell r="BU1">
            <v>43536</v>
          </cell>
          <cell r="BV1">
            <v>43537</v>
          </cell>
          <cell r="BW1">
            <v>43538</v>
          </cell>
          <cell r="BX1">
            <v>43539</v>
          </cell>
          <cell r="BY1">
            <v>43540</v>
          </cell>
          <cell r="BZ1">
            <v>43541</v>
          </cell>
          <cell r="CA1">
            <v>43542</v>
          </cell>
          <cell r="CB1">
            <v>43543</v>
          </cell>
          <cell r="CC1">
            <v>43544</v>
          </cell>
          <cell r="CD1">
            <v>43545</v>
          </cell>
          <cell r="CE1">
            <v>43546</v>
          </cell>
          <cell r="CF1">
            <v>43547</v>
          </cell>
          <cell r="CG1">
            <v>43548</v>
          </cell>
          <cell r="CH1">
            <v>43549</v>
          </cell>
          <cell r="CI1">
            <v>43550</v>
          </cell>
          <cell r="CJ1">
            <v>43551</v>
          </cell>
          <cell r="CK1">
            <v>43552</v>
          </cell>
          <cell r="CL1">
            <v>43553</v>
          </cell>
          <cell r="CM1">
            <v>43554</v>
          </cell>
          <cell r="CN1">
            <v>43555</v>
          </cell>
          <cell r="CO1">
            <v>43556</v>
          </cell>
          <cell r="CP1">
            <v>43557</v>
          </cell>
          <cell r="CQ1">
            <v>43558</v>
          </cell>
          <cell r="CR1">
            <v>43559</v>
          </cell>
          <cell r="CS1">
            <v>43560</v>
          </cell>
          <cell r="CT1">
            <v>43561</v>
          </cell>
          <cell r="CU1">
            <v>43562</v>
          </cell>
          <cell r="CV1">
            <v>43563</v>
          </cell>
          <cell r="CW1">
            <v>43564</v>
          </cell>
          <cell r="CX1">
            <v>43565</v>
          </cell>
          <cell r="CY1">
            <v>43566</v>
          </cell>
          <cell r="CZ1">
            <v>43567</v>
          </cell>
          <cell r="DA1">
            <v>43568</v>
          </cell>
          <cell r="DB1">
            <v>43569</v>
          </cell>
          <cell r="DC1">
            <v>43570</v>
          </cell>
          <cell r="DD1">
            <v>43571</v>
          </cell>
          <cell r="DE1">
            <v>43572</v>
          </cell>
          <cell r="DF1">
            <v>43573</v>
          </cell>
          <cell r="DG1">
            <v>43574</v>
          </cell>
          <cell r="DH1">
            <v>43575</v>
          </cell>
          <cell r="DI1">
            <v>43576</v>
          </cell>
          <cell r="DJ1">
            <v>43577</v>
          </cell>
          <cell r="DK1">
            <v>43578</v>
          </cell>
          <cell r="DL1">
            <v>43579</v>
          </cell>
          <cell r="DM1">
            <v>43580</v>
          </cell>
          <cell r="DN1">
            <v>43581</v>
          </cell>
          <cell r="DO1">
            <v>43582</v>
          </cell>
          <cell r="DP1">
            <v>43583</v>
          </cell>
          <cell r="DQ1">
            <v>43584</v>
          </cell>
          <cell r="DR1">
            <v>43585</v>
          </cell>
          <cell r="DS1">
            <v>43586</v>
          </cell>
          <cell r="DT1">
            <v>43587</v>
          </cell>
          <cell r="DU1">
            <v>43588</v>
          </cell>
          <cell r="DV1">
            <v>43589</v>
          </cell>
          <cell r="DW1">
            <v>43590</v>
          </cell>
          <cell r="DX1">
            <v>43591</v>
          </cell>
          <cell r="DY1">
            <v>43592</v>
          </cell>
          <cell r="DZ1">
            <v>43593</v>
          </cell>
          <cell r="EA1">
            <v>43594</v>
          </cell>
          <cell r="EB1">
            <v>43595</v>
          </cell>
          <cell r="EC1">
            <v>43596</v>
          </cell>
          <cell r="ED1">
            <v>43597</v>
          </cell>
          <cell r="EE1">
            <v>43598</v>
          </cell>
          <cell r="EF1">
            <v>43599</v>
          </cell>
          <cell r="EG1">
            <v>43600</v>
          </cell>
          <cell r="EH1">
            <v>43601</v>
          </cell>
          <cell r="EI1">
            <v>43602</v>
          </cell>
          <cell r="EJ1">
            <v>43603</v>
          </cell>
          <cell r="EK1">
            <v>43604</v>
          </cell>
          <cell r="EL1">
            <v>43605</v>
          </cell>
          <cell r="EM1">
            <v>43606</v>
          </cell>
          <cell r="EN1">
            <v>43607</v>
          </cell>
          <cell r="EO1">
            <v>43608</v>
          </cell>
          <cell r="EP1">
            <v>43609</v>
          </cell>
          <cell r="EQ1">
            <v>43610</v>
          </cell>
          <cell r="ER1">
            <v>43611</v>
          </cell>
          <cell r="ES1">
            <v>43612</v>
          </cell>
          <cell r="ET1">
            <v>43613</v>
          </cell>
          <cell r="EU1">
            <v>43614</v>
          </cell>
          <cell r="EV1">
            <v>43615</v>
          </cell>
          <cell r="EW1">
            <v>43616</v>
          </cell>
          <cell r="EX1">
            <v>43617</v>
          </cell>
          <cell r="EY1">
            <v>43618</v>
          </cell>
          <cell r="EZ1">
            <v>43619</v>
          </cell>
          <cell r="FA1">
            <v>43620</v>
          </cell>
          <cell r="FB1">
            <v>43621</v>
          </cell>
          <cell r="FC1">
            <v>43622</v>
          </cell>
          <cell r="FD1">
            <v>43623</v>
          </cell>
          <cell r="FE1">
            <v>43624</v>
          </cell>
          <cell r="FF1">
            <v>43625</v>
          </cell>
          <cell r="FG1">
            <v>43626</v>
          </cell>
          <cell r="FH1">
            <v>43627</v>
          </cell>
          <cell r="FI1">
            <v>43628</v>
          </cell>
          <cell r="FJ1">
            <v>43629</v>
          </cell>
          <cell r="FK1">
            <v>43630</v>
          </cell>
          <cell r="FL1">
            <v>43631</v>
          </cell>
          <cell r="FM1">
            <v>43632</v>
          </cell>
          <cell r="FN1">
            <v>43633</v>
          </cell>
          <cell r="FO1">
            <v>43634</v>
          </cell>
          <cell r="FP1">
            <v>43635</v>
          </cell>
          <cell r="FQ1">
            <v>43636</v>
          </cell>
          <cell r="FR1">
            <v>43637</v>
          </cell>
          <cell r="FS1">
            <v>43638</v>
          </cell>
          <cell r="FT1">
            <v>43639</v>
          </cell>
          <cell r="FU1">
            <v>43640</v>
          </cell>
          <cell r="FV1">
            <v>43641</v>
          </cell>
          <cell r="FW1">
            <v>43642</v>
          </cell>
          <cell r="FX1">
            <v>43643</v>
          </cell>
          <cell r="FY1">
            <v>43644</v>
          </cell>
          <cell r="FZ1">
            <v>43645</v>
          </cell>
          <cell r="GA1">
            <v>43646</v>
          </cell>
          <cell r="GB1">
            <v>43647</v>
          </cell>
          <cell r="GC1">
            <v>43648</v>
          </cell>
          <cell r="GD1">
            <v>43649</v>
          </cell>
          <cell r="GE1">
            <v>43650</v>
          </cell>
          <cell r="GF1">
            <v>43651</v>
          </cell>
          <cell r="GG1">
            <v>43652</v>
          </cell>
          <cell r="GH1">
            <v>43653</v>
          </cell>
          <cell r="GI1">
            <v>43654</v>
          </cell>
          <cell r="GJ1">
            <v>43655</v>
          </cell>
          <cell r="GK1">
            <v>43656</v>
          </cell>
          <cell r="GL1">
            <v>43657</v>
          </cell>
          <cell r="GM1">
            <v>43658</v>
          </cell>
          <cell r="GN1">
            <v>43659</v>
          </cell>
          <cell r="GO1">
            <v>43660</v>
          </cell>
          <cell r="GP1">
            <v>43661</v>
          </cell>
          <cell r="GQ1">
            <v>43662</v>
          </cell>
          <cell r="GR1">
            <v>43663</v>
          </cell>
          <cell r="GS1">
            <v>43664</v>
          </cell>
          <cell r="GT1">
            <v>43665</v>
          </cell>
          <cell r="GU1">
            <v>43666</v>
          </cell>
          <cell r="GV1">
            <v>43667</v>
          </cell>
          <cell r="GW1">
            <v>43668</v>
          </cell>
          <cell r="GX1">
            <v>43669</v>
          </cell>
          <cell r="GY1">
            <v>43670</v>
          </cell>
          <cell r="GZ1">
            <v>43671</v>
          </cell>
          <cell r="HA1">
            <v>43672</v>
          </cell>
          <cell r="HB1">
            <v>43673</v>
          </cell>
          <cell r="HC1">
            <v>43674</v>
          </cell>
          <cell r="HD1">
            <v>43675</v>
          </cell>
          <cell r="HE1">
            <v>43676</v>
          </cell>
          <cell r="HF1">
            <v>43677</v>
          </cell>
          <cell r="HG1">
            <v>43678</v>
          </cell>
          <cell r="HH1">
            <v>43679</v>
          </cell>
          <cell r="HI1">
            <v>43680</v>
          </cell>
          <cell r="HJ1">
            <v>43681</v>
          </cell>
          <cell r="HK1">
            <v>43682</v>
          </cell>
          <cell r="HL1">
            <v>43683</v>
          </cell>
          <cell r="HM1">
            <v>43684</v>
          </cell>
          <cell r="HN1">
            <v>43685</v>
          </cell>
          <cell r="HO1">
            <v>43686</v>
          </cell>
          <cell r="HP1">
            <v>43687</v>
          </cell>
          <cell r="HQ1">
            <v>43688</v>
          </cell>
          <cell r="HR1">
            <v>43689</v>
          </cell>
          <cell r="HS1">
            <v>43690</v>
          </cell>
          <cell r="HT1">
            <v>43691</v>
          </cell>
          <cell r="HU1">
            <v>43692</v>
          </cell>
          <cell r="HV1">
            <v>43693</v>
          </cell>
          <cell r="HW1">
            <v>43694</v>
          </cell>
          <cell r="HX1">
            <v>43695</v>
          </cell>
          <cell r="HY1">
            <v>43696</v>
          </cell>
          <cell r="HZ1">
            <v>43697</v>
          </cell>
          <cell r="IA1">
            <v>43698</v>
          </cell>
          <cell r="IB1">
            <v>43699</v>
          </cell>
          <cell r="IC1">
            <v>43700</v>
          </cell>
          <cell r="ID1">
            <v>43701</v>
          </cell>
          <cell r="IE1">
            <v>43702</v>
          </cell>
          <cell r="IF1">
            <v>43703</v>
          </cell>
          <cell r="IG1">
            <v>43704</v>
          </cell>
          <cell r="IH1">
            <v>43705</v>
          </cell>
          <cell r="II1">
            <v>43706</v>
          </cell>
          <cell r="IJ1">
            <v>43707</v>
          </cell>
          <cell r="IK1">
            <v>43708</v>
          </cell>
          <cell r="IL1">
            <v>43709</v>
          </cell>
          <cell r="IM1">
            <v>43710</v>
          </cell>
          <cell r="IN1">
            <v>43711</v>
          </cell>
          <cell r="IO1">
            <v>43712</v>
          </cell>
          <cell r="IP1">
            <v>43713</v>
          </cell>
          <cell r="IQ1">
            <v>43714</v>
          </cell>
          <cell r="IR1">
            <v>43715</v>
          </cell>
          <cell r="IS1">
            <v>43716</v>
          </cell>
          <cell r="IT1">
            <v>43717</v>
          </cell>
          <cell r="IU1">
            <v>43718</v>
          </cell>
          <cell r="IV1">
            <v>43719</v>
          </cell>
          <cell r="IW1">
            <v>43720</v>
          </cell>
          <cell r="IX1">
            <v>43721</v>
          </cell>
          <cell r="IY1">
            <v>43722</v>
          </cell>
          <cell r="IZ1">
            <v>43723</v>
          </cell>
          <cell r="JA1">
            <v>43724</v>
          </cell>
          <cell r="JB1">
            <v>43725</v>
          </cell>
          <cell r="JC1">
            <v>43726</v>
          </cell>
          <cell r="JD1">
            <v>43727</v>
          </cell>
          <cell r="JE1">
            <v>43728</v>
          </cell>
          <cell r="JF1">
            <v>43729</v>
          </cell>
          <cell r="JG1">
            <v>43730</v>
          </cell>
          <cell r="JH1">
            <v>43731</v>
          </cell>
          <cell r="JI1">
            <v>43732</v>
          </cell>
          <cell r="JJ1">
            <v>43733</v>
          </cell>
          <cell r="JK1">
            <v>43734</v>
          </cell>
          <cell r="JL1">
            <v>43735</v>
          </cell>
          <cell r="JM1">
            <v>43736</v>
          </cell>
          <cell r="JN1">
            <v>43737</v>
          </cell>
          <cell r="JO1">
            <v>43738</v>
          </cell>
          <cell r="JP1">
            <v>43739</v>
          </cell>
          <cell r="JQ1">
            <v>43740</v>
          </cell>
          <cell r="JR1">
            <v>43741</v>
          </cell>
          <cell r="JS1">
            <v>43742</v>
          </cell>
          <cell r="JT1">
            <v>43743</v>
          </cell>
          <cell r="JU1">
            <v>43744</v>
          </cell>
          <cell r="JV1">
            <v>43745</v>
          </cell>
          <cell r="JW1">
            <v>43746</v>
          </cell>
          <cell r="JX1">
            <v>43747</v>
          </cell>
          <cell r="JY1">
            <v>43748</v>
          </cell>
          <cell r="JZ1">
            <v>43749</v>
          </cell>
          <cell r="KA1">
            <v>43750</v>
          </cell>
          <cell r="KB1">
            <v>43751</v>
          </cell>
          <cell r="KC1">
            <v>43752</v>
          </cell>
          <cell r="KD1">
            <v>43753</v>
          </cell>
          <cell r="KE1">
            <v>43754</v>
          </cell>
          <cell r="KF1">
            <v>43755</v>
          </cell>
          <cell r="KG1">
            <v>43756</v>
          </cell>
          <cell r="KH1">
            <v>43757</v>
          </cell>
          <cell r="KI1">
            <v>43758</v>
          </cell>
          <cell r="KJ1">
            <v>43759</v>
          </cell>
          <cell r="KK1">
            <v>43760</v>
          </cell>
          <cell r="KL1">
            <v>43761</v>
          </cell>
          <cell r="KM1">
            <v>43762</v>
          </cell>
          <cell r="KN1">
            <v>43763</v>
          </cell>
          <cell r="KO1">
            <v>43764</v>
          </cell>
          <cell r="KP1">
            <v>43765</v>
          </cell>
          <cell r="KQ1">
            <v>43766</v>
          </cell>
          <cell r="KR1">
            <v>43767</v>
          </cell>
          <cell r="KS1">
            <v>43768</v>
          </cell>
          <cell r="KT1">
            <v>43769</v>
          </cell>
          <cell r="KU1">
            <v>43770</v>
          </cell>
          <cell r="KV1">
            <v>43771</v>
          </cell>
          <cell r="KW1">
            <v>43772</v>
          </cell>
          <cell r="KX1">
            <v>43773</v>
          </cell>
          <cell r="KY1">
            <v>43774</v>
          </cell>
          <cell r="KZ1">
            <v>43775</v>
          </cell>
          <cell r="LA1">
            <v>43776</v>
          </cell>
          <cell r="LB1">
            <v>43777</v>
          </cell>
          <cell r="LC1">
            <v>43778</v>
          </cell>
          <cell r="LD1">
            <v>43779</v>
          </cell>
          <cell r="LE1">
            <v>43780</v>
          </cell>
          <cell r="LF1">
            <v>43781</v>
          </cell>
          <cell r="LG1">
            <v>43782</v>
          </cell>
          <cell r="LH1">
            <v>43783</v>
          </cell>
          <cell r="LI1">
            <v>43784</v>
          </cell>
          <cell r="LJ1">
            <v>43785</v>
          </cell>
          <cell r="LK1">
            <v>43786</v>
          </cell>
          <cell r="LL1">
            <v>43787</v>
          </cell>
          <cell r="LM1">
            <v>43788</v>
          </cell>
          <cell r="LN1">
            <v>43789</v>
          </cell>
          <cell r="LO1">
            <v>43790</v>
          </cell>
          <cell r="LP1">
            <v>43791</v>
          </cell>
          <cell r="LQ1">
            <v>43792</v>
          </cell>
          <cell r="LR1">
            <v>43793</v>
          </cell>
          <cell r="LS1">
            <v>43794</v>
          </cell>
          <cell r="LT1">
            <v>43795</v>
          </cell>
          <cell r="LU1">
            <v>43796</v>
          </cell>
          <cell r="LV1">
            <v>43797</v>
          </cell>
          <cell r="LW1">
            <v>43798</v>
          </cell>
          <cell r="LX1">
            <v>43799</v>
          </cell>
          <cell r="LY1">
            <v>43800</v>
          </cell>
          <cell r="LZ1">
            <v>43801</v>
          </cell>
          <cell r="MA1">
            <v>43802</v>
          </cell>
          <cell r="MB1">
            <v>43803</v>
          </cell>
          <cell r="MC1">
            <v>43804</v>
          </cell>
          <cell r="MD1">
            <v>43805</v>
          </cell>
          <cell r="ME1">
            <v>43806</v>
          </cell>
          <cell r="MF1">
            <v>43807</v>
          </cell>
          <cell r="MG1">
            <v>43808</v>
          </cell>
          <cell r="MH1">
            <v>43809</v>
          </cell>
        </row>
        <row r="2">
          <cell r="A2" t="str">
            <v>MODULO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 t="str">
            <v>Lunes 21</v>
          </cell>
          <cell r="X2" t="str">
            <v>Martes 22</v>
          </cell>
          <cell r="Y2" t="str">
            <v>Miercoles 23</v>
          </cell>
          <cell r="Z2" t="str">
            <v>Jueves 24</v>
          </cell>
          <cell r="AA2" t="str">
            <v>Viernes 25</v>
          </cell>
          <cell r="AB2" t="str">
            <v>Sábado 26</v>
          </cell>
          <cell r="AC2" t="str">
            <v>Domingo 27</v>
          </cell>
          <cell r="AD2" t="str">
            <v>Lunes 28</v>
          </cell>
          <cell r="AE2" t="str">
            <v>Martes 29</v>
          </cell>
          <cell r="AF2" t="str">
            <v>Miercoles 30</v>
          </cell>
          <cell r="AG2" t="str">
            <v>Jueves 31</v>
          </cell>
          <cell r="AH2" t="str">
            <v>Viernes 1</v>
          </cell>
          <cell r="AI2" t="str">
            <v>Sabado 2</v>
          </cell>
          <cell r="AJ2" t="str">
            <v>Domingo 3</v>
          </cell>
          <cell r="AK2" t="str">
            <v>Lunes 4</v>
          </cell>
          <cell r="AL2" t="str">
            <v>Martes 5</v>
          </cell>
          <cell r="AM2" t="str">
            <v>Miercoles 6</v>
          </cell>
          <cell r="AN2" t="str">
            <v>Jueves 7</v>
          </cell>
          <cell r="AO2" t="str">
            <v>Viernes 8</v>
          </cell>
          <cell r="AP2" t="str">
            <v>Sabado 9</v>
          </cell>
          <cell r="AQ2" t="str">
            <v>Domingo 10</v>
          </cell>
          <cell r="AR2" t="str">
            <v>Lunes 11</v>
          </cell>
          <cell r="AS2" t="str">
            <v>Martes 12</v>
          </cell>
          <cell r="AT2" t="str">
            <v>Miercoles 13</v>
          </cell>
          <cell r="AU2" t="str">
            <v>Jueves 14</v>
          </cell>
          <cell r="AV2" t="str">
            <v>Viernes 15</v>
          </cell>
          <cell r="AW2" t="str">
            <v>Sabado 16</v>
          </cell>
          <cell r="AX2" t="str">
            <v>Domingo 17</v>
          </cell>
          <cell r="AY2" t="str">
            <v>Lunes 18</v>
          </cell>
          <cell r="AZ2" t="str">
            <v>Martes 19</v>
          </cell>
          <cell r="BA2" t="str">
            <v>Miercoles 20</v>
          </cell>
          <cell r="BB2" t="str">
            <v>Jueves 21</v>
          </cell>
          <cell r="BC2" t="str">
            <v>Viernes 22</v>
          </cell>
          <cell r="BD2" t="str">
            <v>Sabado 23</v>
          </cell>
          <cell r="BE2" t="str">
            <v>Domingo 24</v>
          </cell>
          <cell r="BF2" t="str">
            <v>Lunes 25</v>
          </cell>
          <cell r="BG2" t="str">
            <v>Martes 26</v>
          </cell>
          <cell r="BH2" t="str">
            <v>Miercoles 27</v>
          </cell>
          <cell r="BI2" t="str">
            <v>Jueves 28</v>
          </cell>
          <cell r="BJ2" t="str">
            <v>Viernes 1</v>
          </cell>
          <cell r="BK2" t="str">
            <v>Sabado 2</v>
          </cell>
          <cell r="BL2" t="str">
            <v>Domingo 3</v>
          </cell>
          <cell r="BM2" t="str">
            <v>Lunes 4</v>
          </cell>
          <cell r="BN2" t="str">
            <v>Martes 5</v>
          </cell>
          <cell r="BO2" t="str">
            <v>Miercoles 6</v>
          </cell>
          <cell r="BP2" t="str">
            <v>Jueves 7</v>
          </cell>
          <cell r="BQ2" t="str">
            <v>Viernes 8</v>
          </cell>
          <cell r="BR2" t="str">
            <v>Sabado 9</v>
          </cell>
          <cell r="BS2" t="str">
            <v>Domingo 10</v>
          </cell>
          <cell r="BT2" t="str">
            <v>Lunes 11</v>
          </cell>
          <cell r="BU2" t="str">
            <v>Martes 12</v>
          </cell>
          <cell r="BV2" t="str">
            <v>Miercoles 13</v>
          </cell>
          <cell r="BW2" t="str">
            <v>Jueves 14</v>
          </cell>
          <cell r="BX2" t="str">
            <v>Viernes 15</v>
          </cell>
          <cell r="BY2" t="str">
            <v>Sabado 16</v>
          </cell>
          <cell r="BZ2" t="str">
            <v>Domingo 17</v>
          </cell>
          <cell r="CA2" t="str">
            <v>Lunes 18</v>
          </cell>
          <cell r="CB2" t="str">
            <v>Martes 19</v>
          </cell>
          <cell r="CC2" t="str">
            <v>Miercoles 20</v>
          </cell>
          <cell r="CD2" t="str">
            <v>Jueves 21</v>
          </cell>
          <cell r="CE2" t="str">
            <v>Viernes 22</v>
          </cell>
          <cell r="CF2" t="str">
            <v>Sabado 23</v>
          </cell>
          <cell r="CG2" t="str">
            <v>Domingo 24</v>
          </cell>
          <cell r="CH2" t="str">
            <v>Lunes 25</v>
          </cell>
          <cell r="CI2" t="str">
            <v>Martes 26</v>
          </cell>
          <cell r="CJ2" t="str">
            <v>Miercoles 27</v>
          </cell>
          <cell r="CK2" t="str">
            <v>Jueves 28</v>
          </cell>
          <cell r="CL2" t="str">
            <v>Viernes 29</v>
          </cell>
          <cell r="CM2" t="str">
            <v>Sabado 30</v>
          </cell>
          <cell r="CN2" t="str">
            <v>Domingo 31</v>
          </cell>
          <cell r="CO2" t="str">
            <v>Lunes 1</v>
          </cell>
          <cell r="CP2" t="str">
            <v>Martes 2</v>
          </cell>
          <cell r="CQ2" t="str">
            <v>Miercoles 3</v>
          </cell>
          <cell r="CR2" t="str">
            <v>Jueves 4</v>
          </cell>
          <cell r="CS2" t="str">
            <v>Viernes 5</v>
          </cell>
          <cell r="CT2" t="str">
            <v>Sabado 6</v>
          </cell>
          <cell r="CU2" t="str">
            <v>Domingo 7</v>
          </cell>
          <cell r="CV2" t="str">
            <v>Lunes 8</v>
          </cell>
          <cell r="CW2" t="str">
            <v>Martes 9</v>
          </cell>
          <cell r="CX2" t="str">
            <v>Miercoles 10</v>
          </cell>
          <cell r="CY2" t="str">
            <v>Jueves 11</v>
          </cell>
          <cell r="CZ2" t="str">
            <v>Viernes 12</v>
          </cell>
          <cell r="DA2" t="str">
            <v>Sabado 13</v>
          </cell>
          <cell r="DB2" t="str">
            <v>Domingo 14</v>
          </cell>
          <cell r="DC2" t="str">
            <v>Lunes 15</v>
          </cell>
          <cell r="DD2" t="str">
            <v>Martes 16</v>
          </cell>
          <cell r="DE2" t="str">
            <v>Miercoles 17</v>
          </cell>
          <cell r="DF2" t="str">
            <v>Jueves 18</v>
          </cell>
          <cell r="DG2" t="str">
            <v>Viernes 19</v>
          </cell>
          <cell r="DH2" t="str">
            <v>Sabado 20</v>
          </cell>
          <cell r="DI2" t="str">
            <v>Domingo 21</v>
          </cell>
          <cell r="DJ2" t="str">
            <v>Lunes 22</v>
          </cell>
          <cell r="DK2" t="str">
            <v>Martes 23</v>
          </cell>
          <cell r="DL2" t="str">
            <v>Miercoles 24</v>
          </cell>
          <cell r="DM2" t="str">
            <v>Jueves 25</v>
          </cell>
          <cell r="DN2" t="str">
            <v>Viernes 26</v>
          </cell>
          <cell r="DO2" t="str">
            <v>Sabado 27</v>
          </cell>
          <cell r="DP2" t="str">
            <v>Domingo 28</v>
          </cell>
          <cell r="DQ2" t="str">
            <v>Lunes 29</v>
          </cell>
          <cell r="DR2" t="str">
            <v>Martes 30</v>
          </cell>
          <cell r="DS2" t="str">
            <v>Miercoles 1</v>
          </cell>
          <cell r="DT2" t="str">
            <v>Jueves 2</v>
          </cell>
          <cell r="DU2" t="str">
            <v>Viernes 3</v>
          </cell>
          <cell r="DV2" t="str">
            <v>Sabado 4</v>
          </cell>
          <cell r="DW2" t="str">
            <v>Domingo 5</v>
          </cell>
          <cell r="DX2" t="str">
            <v>Lunes 6</v>
          </cell>
          <cell r="DY2" t="str">
            <v>Martes 7</v>
          </cell>
          <cell r="DZ2" t="str">
            <v>Miercoles 8</v>
          </cell>
          <cell r="EA2" t="str">
            <v>Jueves 9</v>
          </cell>
          <cell r="EB2" t="str">
            <v>Viernes 10</v>
          </cell>
          <cell r="EC2" t="str">
            <v>Sabado 11</v>
          </cell>
          <cell r="ED2" t="str">
            <v>Domingo 12</v>
          </cell>
          <cell r="EE2" t="str">
            <v>Lunes 13</v>
          </cell>
          <cell r="EF2" t="str">
            <v>Martes 14</v>
          </cell>
          <cell r="EG2" t="str">
            <v>Miercoles 15</v>
          </cell>
          <cell r="EH2" t="str">
            <v>Jueves 16</v>
          </cell>
          <cell r="EI2" t="str">
            <v>Viernes 17</v>
          </cell>
          <cell r="EJ2" t="str">
            <v>Sabado 18</v>
          </cell>
          <cell r="EK2" t="str">
            <v>Domingo 19</v>
          </cell>
          <cell r="EL2" t="str">
            <v>Lunes 20</v>
          </cell>
          <cell r="EM2" t="str">
            <v>Martes 21</v>
          </cell>
          <cell r="EN2" t="str">
            <v>Miercoles 22</v>
          </cell>
          <cell r="EO2" t="str">
            <v>Jueves 23</v>
          </cell>
          <cell r="EP2" t="str">
            <v>Viernes 24</v>
          </cell>
          <cell r="EQ2" t="str">
            <v>Sabado 25</v>
          </cell>
          <cell r="ER2" t="str">
            <v>Domingo 26</v>
          </cell>
          <cell r="ES2" t="str">
            <v>Lunes 27</v>
          </cell>
          <cell r="ET2" t="str">
            <v>Martes 28</v>
          </cell>
          <cell r="EU2" t="str">
            <v>Miercoles 29</v>
          </cell>
          <cell r="EV2" t="str">
            <v>Jueves 30</v>
          </cell>
          <cell r="EW2" t="str">
            <v>Viernes 31</v>
          </cell>
          <cell r="EX2" t="str">
            <v>Sabado 1</v>
          </cell>
          <cell r="EY2" t="str">
            <v>Domingo 2</v>
          </cell>
          <cell r="EZ2" t="str">
            <v>Lunes 3</v>
          </cell>
          <cell r="FA2" t="str">
            <v>Martes 4</v>
          </cell>
          <cell r="FB2" t="str">
            <v>Miercoles 5</v>
          </cell>
          <cell r="FC2" t="str">
            <v>Jueves 6</v>
          </cell>
          <cell r="FD2" t="str">
            <v>Viernes 7</v>
          </cell>
          <cell r="FE2" t="str">
            <v>Sabado 8</v>
          </cell>
          <cell r="FF2" t="str">
            <v>Domingo 9</v>
          </cell>
          <cell r="FG2" t="str">
            <v>Lunes 10</v>
          </cell>
          <cell r="FH2" t="str">
            <v>Martes 11</v>
          </cell>
          <cell r="FI2" t="str">
            <v>Miercoles 12</v>
          </cell>
          <cell r="FJ2" t="str">
            <v>Jueves 13</v>
          </cell>
          <cell r="FK2" t="str">
            <v>Viernes 14</v>
          </cell>
          <cell r="FL2" t="str">
            <v>Sabado 15</v>
          </cell>
          <cell r="FM2" t="str">
            <v>Domingo 16</v>
          </cell>
          <cell r="FN2" t="str">
            <v>Lunes 17</v>
          </cell>
          <cell r="FO2" t="str">
            <v>Martes 18</v>
          </cell>
          <cell r="FP2" t="str">
            <v>Miercoles 19</v>
          </cell>
          <cell r="FQ2" t="str">
            <v>Jueves 20</v>
          </cell>
          <cell r="FR2" t="str">
            <v>Viernes 21</v>
          </cell>
          <cell r="FS2" t="str">
            <v>Sabado 22</v>
          </cell>
          <cell r="FT2" t="str">
            <v>Domingo 23</v>
          </cell>
          <cell r="FU2" t="str">
            <v>Lunes 24</v>
          </cell>
          <cell r="FV2" t="str">
            <v>Martes 25</v>
          </cell>
          <cell r="FW2" t="str">
            <v>Miercoles 26</v>
          </cell>
          <cell r="FX2" t="str">
            <v>Jueves 27</v>
          </cell>
          <cell r="FY2" t="str">
            <v>Viernes 28</v>
          </cell>
          <cell r="FZ2" t="str">
            <v>Sabado 29</v>
          </cell>
          <cell r="GA2" t="str">
            <v>Domingo 30</v>
          </cell>
          <cell r="GB2" t="str">
            <v>Lunes 1</v>
          </cell>
          <cell r="GC2" t="str">
            <v>Martes 2</v>
          </cell>
          <cell r="GD2" t="str">
            <v>Miercoles 3</v>
          </cell>
          <cell r="GE2" t="str">
            <v>Jueves 4</v>
          </cell>
          <cell r="GF2" t="str">
            <v>Viernes 5</v>
          </cell>
          <cell r="GG2" t="str">
            <v>Sabado 6</v>
          </cell>
          <cell r="GH2" t="str">
            <v>Domingo 7</v>
          </cell>
          <cell r="GI2" t="str">
            <v>Lunes 8</v>
          </cell>
          <cell r="GJ2" t="str">
            <v>Martes 9</v>
          </cell>
          <cell r="GK2" t="str">
            <v>Miercoles 10</v>
          </cell>
          <cell r="GL2" t="str">
            <v>Jueves 11</v>
          </cell>
          <cell r="GM2" t="str">
            <v>Viernes 12</v>
          </cell>
          <cell r="GN2" t="str">
            <v>Sabado 13</v>
          </cell>
          <cell r="GO2" t="str">
            <v>Domingo 14</v>
          </cell>
          <cell r="GP2" t="str">
            <v>Lunes 15</v>
          </cell>
          <cell r="GQ2" t="str">
            <v>Martes 16</v>
          </cell>
          <cell r="GR2" t="str">
            <v>Miercoles 17</v>
          </cell>
          <cell r="GS2" t="str">
            <v>Jueves 18</v>
          </cell>
          <cell r="GT2" t="str">
            <v>Viernes 19</v>
          </cell>
          <cell r="GU2" t="str">
            <v>Sabado 20</v>
          </cell>
          <cell r="GV2" t="str">
            <v>Domingo 21</v>
          </cell>
          <cell r="GW2" t="str">
            <v>Lunes 22</v>
          </cell>
          <cell r="GX2" t="str">
            <v>Martes 23</v>
          </cell>
          <cell r="GY2" t="str">
            <v>Miercoles 24</v>
          </cell>
          <cell r="GZ2" t="str">
            <v>Jueves 25</v>
          </cell>
          <cell r="HA2" t="str">
            <v>Viernes 26</v>
          </cell>
          <cell r="HB2" t="str">
            <v>Sabado 27</v>
          </cell>
          <cell r="HC2" t="str">
            <v>Domingo 28</v>
          </cell>
          <cell r="HD2" t="str">
            <v>Lunes 29</v>
          </cell>
          <cell r="HE2" t="str">
            <v>Martes 30</v>
          </cell>
          <cell r="HF2" t="str">
            <v>Miercoles 31</v>
          </cell>
          <cell r="HG2" t="str">
            <v>Jueves 1</v>
          </cell>
          <cell r="HH2" t="str">
            <v>Viernes 2</v>
          </cell>
          <cell r="HI2" t="str">
            <v>Sabado 3</v>
          </cell>
          <cell r="HJ2" t="str">
            <v>Domingo 4</v>
          </cell>
          <cell r="HK2" t="str">
            <v>Lunes 5</v>
          </cell>
          <cell r="HL2" t="str">
            <v>Martes 6</v>
          </cell>
          <cell r="HM2" t="str">
            <v>Miercoles 7</v>
          </cell>
          <cell r="HN2" t="str">
            <v>Jueves 8</v>
          </cell>
          <cell r="HO2" t="str">
            <v>Viernes 9</v>
          </cell>
          <cell r="HP2" t="str">
            <v>Sabado 10</v>
          </cell>
          <cell r="HQ2" t="str">
            <v>Domingo 11</v>
          </cell>
          <cell r="HR2" t="str">
            <v>Lunes 12</v>
          </cell>
          <cell r="HS2" t="str">
            <v>Martes 13</v>
          </cell>
          <cell r="HT2" t="str">
            <v>Miercoles 14</v>
          </cell>
          <cell r="HU2" t="str">
            <v>Jueves 15</v>
          </cell>
          <cell r="HV2" t="str">
            <v>Viernes 16</v>
          </cell>
          <cell r="HW2" t="str">
            <v>Sabado 17</v>
          </cell>
          <cell r="HX2" t="str">
            <v>Domingo 18</v>
          </cell>
          <cell r="HY2" t="str">
            <v>Lunes 19</v>
          </cell>
          <cell r="HZ2" t="str">
            <v>Martes 20</v>
          </cell>
          <cell r="IA2" t="str">
            <v>Miercoles 21</v>
          </cell>
          <cell r="IB2" t="str">
            <v>Jueves 22</v>
          </cell>
          <cell r="IC2" t="str">
            <v>Viernes 23</v>
          </cell>
          <cell r="ID2" t="str">
            <v>Sabado 24</v>
          </cell>
          <cell r="IE2" t="str">
            <v>Domingo 25</v>
          </cell>
          <cell r="IF2" t="str">
            <v>Lunes 26</v>
          </cell>
          <cell r="IG2" t="str">
            <v>Martes 27</v>
          </cell>
          <cell r="IH2" t="str">
            <v>Miercoles 28</v>
          </cell>
          <cell r="II2" t="str">
            <v>Jueves 29</v>
          </cell>
          <cell r="IJ2" t="str">
            <v>Viernes 30</v>
          </cell>
          <cell r="IK2" t="str">
            <v>Sabado 31</v>
          </cell>
          <cell r="IL2" t="str">
            <v>Domingo 1</v>
          </cell>
          <cell r="IM2" t="str">
            <v>Lunes 2</v>
          </cell>
          <cell r="IN2" t="str">
            <v>Martes 3</v>
          </cell>
          <cell r="IO2" t="str">
            <v>Miercoles 4</v>
          </cell>
          <cell r="IP2" t="str">
            <v>Jueves 5</v>
          </cell>
          <cell r="IQ2" t="str">
            <v>Viernes 6</v>
          </cell>
          <cell r="IR2" t="str">
            <v>Sábado 7</v>
          </cell>
          <cell r="IS2" t="str">
            <v>Domingo 8</v>
          </cell>
          <cell r="IT2" t="str">
            <v>Lunes 9</v>
          </cell>
          <cell r="IU2" t="str">
            <v>Martes 10</v>
          </cell>
          <cell r="IV2" t="str">
            <v>Miercoles 11</v>
          </cell>
          <cell r="IW2" t="str">
            <v>Jueves 12</v>
          </cell>
          <cell r="IX2" t="str">
            <v>Viernes 13</v>
          </cell>
          <cell r="IY2" t="str">
            <v>Sábado 14</v>
          </cell>
          <cell r="IZ2" t="str">
            <v>Domingo 15</v>
          </cell>
          <cell r="JA2" t="str">
            <v>Lunes 16</v>
          </cell>
          <cell r="JB2" t="str">
            <v>Martes 17</v>
          </cell>
          <cell r="JC2" t="str">
            <v>Miercoles 18</v>
          </cell>
          <cell r="JD2" t="str">
            <v>Jueves 19</v>
          </cell>
          <cell r="JE2" t="str">
            <v>Viernes 20</v>
          </cell>
          <cell r="JF2" t="str">
            <v>Sábado 21</v>
          </cell>
          <cell r="JG2" t="str">
            <v>Domingo 22</v>
          </cell>
          <cell r="JH2" t="str">
            <v>Lunes 23</v>
          </cell>
          <cell r="JI2" t="str">
            <v>Martes 24</v>
          </cell>
          <cell r="JJ2" t="str">
            <v>Miercoles 25</v>
          </cell>
          <cell r="JK2" t="str">
            <v>Jueves 26</v>
          </cell>
          <cell r="JL2" t="str">
            <v>Viernes 27</v>
          </cell>
          <cell r="JM2" t="str">
            <v>Sabado 28</v>
          </cell>
          <cell r="JN2" t="str">
            <v>Domingo 29</v>
          </cell>
          <cell r="JO2" t="str">
            <v>Lunes 30</v>
          </cell>
          <cell r="JP2" t="str">
            <v>Martes 1</v>
          </cell>
          <cell r="JQ2" t="str">
            <v>Miercoles 2</v>
          </cell>
          <cell r="JR2" t="str">
            <v>Jueves 3</v>
          </cell>
          <cell r="JS2" t="str">
            <v>Viernes 4</v>
          </cell>
          <cell r="JT2" t="str">
            <v>Sabado 5</v>
          </cell>
          <cell r="JU2" t="str">
            <v>Domingo 6</v>
          </cell>
          <cell r="JV2" t="str">
            <v>Lunes 7</v>
          </cell>
          <cell r="JW2" t="str">
            <v>Martes 8</v>
          </cell>
          <cell r="JX2" t="str">
            <v>Miercoles 9</v>
          </cell>
          <cell r="JY2" t="str">
            <v>Jueves 10</v>
          </cell>
          <cell r="JZ2" t="str">
            <v>Viernes 11</v>
          </cell>
          <cell r="KA2" t="str">
            <v>Sabado 12</v>
          </cell>
          <cell r="KB2" t="str">
            <v>Domingo 13</v>
          </cell>
          <cell r="KC2" t="str">
            <v>Lunes 14</v>
          </cell>
          <cell r="KD2" t="str">
            <v>Martes 15</v>
          </cell>
          <cell r="KE2" t="str">
            <v>Miercoles 16</v>
          </cell>
          <cell r="KF2" t="str">
            <v>Jueves 17</v>
          </cell>
          <cell r="KG2" t="str">
            <v>Viernes 18</v>
          </cell>
          <cell r="KH2" t="str">
            <v>Sabado 19</v>
          </cell>
          <cell r="KI2" t="str">
            <v>Domingo 20</v>
          </cell>
          <cell r="KJ2" t="str">
            <v>Lunes 21</v>
          </cell>
          <cell r="KK2" t="str">
            <v>Martes 22</v>
          </cell>
          <cell r="KL2" t="str">
            <v>Miercoles 23</v>
          </cell>
          <cell r="KM2" t="str">
            <v>Jueves 24</v>
          </cell>
          <cell r="KN2" t="str">
            <v>Viernes 25</v>
          </cell>
          <cell r="KO2" t="str">
            <v>Sabado 26</v>
          </cell>
          <cell r="KP2" t="str">
            <v>Domingo 27</v>
          </cell>
          <cell r="KQ2" t="str">
            <v>Lunes 28</v>
          </cell>
          <cell r="KR2" t="str">
            <v>Martes 29</v>
          </cell>
          <cell r="KS2" t="str">
            <v>Miercoles 30</v>
          </cell>
          <cell r="KT2" t="str">
            <v>Jueves 31</v>
          </cell>
          <cell r="KU2" t="str">
            <v>Viernes 1</v>
          </cell>
          <cell r="KV2" t="str">
            <v>Sabado 2</v>
          </cell>
          <cell r="KW2" t="str">
            <v>Domingo 3</v>
          </cell>
          <cell r="KX2" t="str">
            <v>Lunes 4</v>
          </cell>
          <cell r="KY2" t="str">
            <v>Martes 5</v>
          </cell>
          <cell r="KZ2" t="str">
            <v>Miercoles 6</v>
          </cell>
          <cell r="LA2" t="str">
            <v>Jueves 7</v>
          </cell>
          <cell r="LB2" t="str">
            <v>Viernes 8</v>
          </cell>
          <cell r="LC2" t="str">
            <v>Sabado 9</v>
          </cell>
          <cell r="LD2" t="str">
            <v>Domingo 10</v>
          </cell>
          <cell r="LE2" t="str">
            <v>Lunes 11</v>
          </cell>
          <cell r="LF2" t="str">
            <v>Martes 12</v>
          </cell>
          <cell r="LG2" t="str">
            <v>Miercoles 13</v>
          </cell>
          <cell r="LH2" t="str">
            <v>Jueves 14</v>
          </cell>
          <cell r="LI2" t="str">
            <v>Viernes 15</v>
          </cell>
          <cell r="LJ2" t="str">
            <v>Sabado 16</v>
          </cell>
          <cell r="LK2" t="str">
            <v>Domingo 17</v>
          </cell>
          <cell r="LL2" t="str">
            <v>Lunes 18</v>
          </cell>
          <cell r="LM2" t="str">
            <v>Martes 19</v>
          </cell>
          <cell r="LN2" t="str">
            <v>Miercoles 20</v>
          </cell>
          <cell r="LO2" t="str">
            <v>Jueves 21</v>
          </cell>
          <cell r="LP2" t="str">
            <v>Viernes 22</v>
          </cell>
          <cell r="LQ2" t="str">
            <v>Sabado 23</v>
          </cell>
          <cell r="LR2" t="str">
            <v>Domingo 24</v>
          </cell>
          <cell r="LS2" t="str">
            <v>Lunes 25</v>
          </cell>
          <cell r="LT2" t="str">
            <v>Martes 26</v>
          </cell>
          <cell r="LU2" t="str">
            <v>Miercoles 27</v>
          </cell>
          <cell r="LV2" t="str">
            <v>Jueves 28</v>
          </cell>
          <cell r="LW2" t="str">
            <v>Viernes 29</v>
          </cell>
          <cell r="LX2" t="str">
            <v>Sabado 30</v>
          </cell>
          <cell r="LY2" t="str">
            <v>Domingo 1</v>
          </cell>
          <cell r="LZ2" t="str">
            <v>Lunes 2</v>
          </cell>
          <cell r="MA2" t="str">
            <v>Martes 3</v>
          </cell>
          <cell r="MB2" t="str">
            <v>Miercoles 4</v>
          </cell>
          <cell r="MC2" t="str">
            <v>Jueves 5</v>
          </cell>
          <cell r="MD2" t="str">
            <v>Viernes 6</v>
          </cell>
          <cell r="ME2" t="str">
            <v>Sabado 7</v>
          </cell>
          <cell r="MF2" t="str">
            <v>Domingo 8</v>
          </cell>
          <cell r="MG2" t="str">
            <v>Lunes 9</v>
          </cell>
          <cell r="MH2" t="str">
            <v>Martes 10</v>
          </cell>
        </row>
        <row r="3">
          <cell r="A3" t="str">
            <v>sd 21</v>
          </cell>
          <cell r="B3">
            <v>24.45</v>
          </cell>
          <cell r="C3">
            <v>24.49</v>
          </cell>
          <cell r="D3">
            <v>24.71</v>
          </cell>
          <cell r="E3">
            <v>24.86</v>
          </cell>
          <cell r="F3">
            <v>25.01</v>
          </cell>
          <cell r="G3">
            <v>25.15</v>
          </cell>
          <cell r="H3">
            <v>25.29</v>
          </cell>
          <cell r="I3">
            <v>25.42</v>
          </cell>
          <cell r="J3">
            <v>26.04</v>
          </cell>
          <cell r="K3">
            <v>26.63</v>
          </cell>
          <cell r="L3">
            <v>27.32</v>
          </cell>
          <cell r="M3">
            <v>27.65</v>
          </cell>
          <cell r="N3">
            <v>27.77</v>
          </cell>
          <cell r="O3">
            <v>27.91</v>
          </cell>
          <cell r="P3">
            <v>28.06</v>
          </cell>
          <cell r="Q3">
            <v>28.74</v>
          </cell>
          <cell r="R3">
            <v>29.32</v>
          </cell>
          <cell r="S3">
            <v>29.93</v>
          </cell>
          <cell r="T3">
            <v>30.32</v>
          </cell>
          <cell r="U3">
            <v>30.46</v>
          </cell>
          <cell r="V3">
            <v>30.6</v>
          </cell>
          <cell r="W3">
            <v>30.73</v>
          </cell>
          <cell r="X3">
            <v>30.96</v>
          </cell>
          <cell r="Y3">
            <v>31.13</v>
          </cell>
          <cell r="Z3">
            <v>31.26</v>
          </cell>
          <cell r="AA3">
            <v>31.44</v>
          </cell>
          <cell r="AB3">
            <v>31.76</v>
          </cell>
          <cell r="AC3">
            <v>31.95</v>
          </cell>
          <cell r="AD3">
            <v>32.1</v>
          </cell>
          <cell r="AE3">
            <v>32.32</v>
          </cell>
          <cell r="AF3">
            <v>32.979999999999997</v>
          </cell>
          <cell r="AG3">
            <v>33.590000000000003</v>
          </cell>
          <cell r="AH3">
            <v>34.049999999999997</v>
          </cell>
          <cell r="AI3">
            <v>34.31</v>
          </cell>
          <cell r="AJ3">
            <v>34.51</v>
          </cell>
          <cell r="AK3">
            <v>34.68</v>
          </cell>
          <cell r="AL3">
            <v>34.86</v>
          </cell>
          <cell r="AM3">
            <v>35.44</v>
          </cell>
          <cell r="AN3">
            <v>36.06</v>
          </cell>
          <cell r="AO3">
            <v>36.57</v>
          </cell>
          <cell r="AP3">
            <v>37.14</v>
          </cell>
          <cell r="AQ3">
            <v>37.29</v>
          </cell>
          <cell r="AR3">
            <v>37.450000000000003</v>
          </cell>
          <cell r="AS3">
            <v>38.24</v>
          </cell>
          <cell r="AT3">
            <v>38.9</v>
          </cell>
          <cell r="AU3">
            <v>39.51</v>
          </cell>
          <cell r="AV3">
            <v>39.880000000000003</v>
          </cell>
          <cell r="AW3">
            <v>40.04</v>
          </cell>
          <cell r="AX3">
            <v>40.19</v>
          </cell>
          <cell r="AY3">
            <v>40.35</v>
          </cell>
          <cell r="AZ3">
            <v>40.98</v>
          </cell>
          <cell r="BA3">
            <v>41.58</v>
          </cell>
          <cell r="BB3">
            <v>41.93</v>
          </cell>
          <cell r="BC3">
            <v>42.43</v>
          </cell>
          <cell r="BD3">
            <v>42.59</v>
          </cell>
          <cell r="BE3">
            <v>42.75</v>
          </cell>
          <cell r="BF3">
            <v>42.91</v>
          </cell>
          <cell r="BG3">
            <v>43.3</v>
          </cell>
          <cell r="BH3">
            <v>43.98</v>
          </cell>
          <cell r="BI3">
            <v>44.58</v>
          </cell>
          <cell r="BJ3">
            <v>45.26</v>
          </cell>
          <cell r="BK3">
            <v>42.42</v>
          </cell>
          <cell r="BL3">
            <v>45.55</v>
          </cell>
          <cell r="BM3">
            <v>45.69</v>
          </cell>
          <cell r="BN3">
            <v>45.84</v>
          </cell>
          <cell r="BO3">
            <v>46.43</v>
          </cell>
          <cell r="BP3">
            <v>47.06</v>
          </cell>
          <cell r="BQ3">
            <v>47.71</v>
          </cell>
          <cell r="BR3">
            <v>48.24</v>
          </cell>
          <cell r="BS3">
            <v>48.4</v>
          </cell>
          <cell r="BT3">
            <v>48.56</v>
          </cell>
          <cell r="BU3">
            <v>48.99</v>
          </cell>
          <cell r="BV3">
            <v>49.5</v>
          </cell>
          <cell r="BW3">
            <v>50.17</v>
          </cell>
          <cell r="BX3">
            <v>50.79</v>
          </cell>
          <cell r="BY3">
            <v>51.22</v>
          </cell>
          <cell r="BZ3">
            <v>51.4</v>
          </cell>
          <cell r="CA3">
            <v>51.55</v>
          </cell>
          <cell r="CB3">
            <v>51.7</v>
          </cell>
          <cell r="CC3">
            <v>51.85</v>
          </cell>
          <cell r="CD3">
            <v>51.99</v>
          </cell>
          <cell r="CE3">
            <v>52.13</v>
          </cell>
          <cell r="CF3">
            <v>52.38</v>
          </cell>
          <cell r="CG3">
            <v>52.52</v>
          </cell>
          <cell r="CH3">
            <v>52.65</v>
          </cell>
          <cell r="CI3">
            <v>52.93</v>
          </cell>
          <cell r="CJ3">
            <v>53.15</v>
          </cell>
          <cell r="CK3">
            <v>53.41</v>
          </cell>
          <cell r="CL3">
            <v>54</v>
          </cell>
          <cell r="CM3">
            <v>54.59</v>
          </cell>
          <cell r="CN3">
            <v>54.74</v>
          </cell>
          <cell r="CO3">
            <v>54.89</v>
          </cell>
          <cell r="CP3">
            <v>55.59</v>
          </cell>
          <cell r="CQ3">
            <v>56.19</v>
          </cell>
          <cell r="CR3">
            <v>56.87</v>
          </cell>
          <cell r="CS3">
            <v>57.34</v>
          </cell>
          <cell r="CT3">
            <v>57.5</v>
          </cell>
          <cell r="CU3">
            <v>57.65</v>
          </cell>
          <cell r="CV3">
            <v>57.79</v>
          </cell>
          <cell r="CW3">
            <v>58.12</v>
          </cell>
          <cell r="CX3">
            <v>58.81</v>
          </cell>
          <cell r="CY3">
            <v>59.46</v>
          </cell>
          <cell r="CZ3">
            <v>59.86</v>
          </cell>
          <cell r="DA3">
            <v>60.01</v>
          </cell>
          <cell r="DB3">
            <v>60.18</v>
          </cell>
          <cell r="DC3">
            <v>60.31</v>
          </cell>
          <cell r="DD3">
            <v>60.47</v>
          </cell>
          <cell r="DE3">
            <v>60.64</v>
          </cell>
          <cell r="DF3">
            <v>60.79</v>
          </cell>
          <cell r="DG3">
            <v>60.97</v>
          </cell>
          <cell r="DH3">
            <v>61.11</v>
          </cell>
          <cell r="DI3">
            <v>61.25</v>
          </cell>
          <cell r="DJ3">
            <v>61.25</v>
          </cell>
          <cell r="DK3">
            <v>61.57</v>
          </cell>
          <cell r="DL3">
            <v>62.16</v>
          </cell>
          <cell r="DM3">
            <v>62.84</v>
          </cell>
          <cell r="DN3">
            <v>63.39</v>
          </cell>
          <cell r="DO3">
            <v>63.53</v>
          </cell>
          <cell r="DP3">
            <v>63.67</v>
          </cell>
          <cell r="DQ3">
            <v>63.78</v>
          </cell>
          <cell r="DR3">
            <v>64.430000000000007</v>
          </cell>
          <cell r="DS3">
            <v>64.94</v>
          </cell>
          <cell r="DT3">
            <v>65.13</v>
          </cell>
          <cell r="DU3">
            <v>65.5</v>
          </cell>
          <cell r="DV3">
            <v>65.64</v>
          </cell>
          <cell r="DW3">
            <v>65.77</v>
          </cell>
          <cell r="DX3">
            <v>65.88</v>
          </cell>
          <cell r="DY3">
            <v>66.03</v>
          </cell>
          <cell r="DZ3">
            <v>66.66</v>
          </cell>
          <cell r="EA3">
            <v>67.260000000000005</v>
          </cell>
          <cell r="EB3">
            <v>67.930000000000007</v>
          </cell>
          <cell r="EC3">
            <v>68.510000000000005</v>
          </cell>
          <cell r="ED3">
            <v>68.66</v>
          </cell>
          <cell r="EE3">
            <v>66.63000000000001</v>
          </cell>
          <cell r="EF3">
            <v>67.226300000000009</v>
          </cell>
          <cell r="EG3">
            <v>68.78</v>
          </cell>
          <cell r="EH3">
            <v>68.930000000000007</v>
          </cell>
          <cell r="EI3">
            <v>70.33</v>
          </cell>
          <cell r="EJ3">
            <v>70.69</v>
          </cell>
          <cell r="EK3">
            <v>70.89</v>
          </cell>
          <cell r="EL3">
            <v>70.989999999999995</v>
          </cell>
          <cell r="EM3">
            <v>71.489999999999995</v>
          </cell>
          <cell r="EN3">
            <v>72.11</v>
          </cell>
          <cell r="EO3">
            <v>72.8</v>
          </cell>
          <cell r="EP3">
            <v>73.41</v>
          </cell>
          <cell r="EQ3">
            <v>73.8</v>
          </cell>
          <cell r="ER3">
            <v>73.98</v>
          </cell>
          <cell r="ES3">
            <v>74.13</v>
          </cell>
          <cell r="ET3">
            <v>74.87</v>
          </cell>
          <cell r="EU3">
            <v>75.59</v>
          </cell>
          <cell r="EV3">
            <v>76.22</v>
          </cell>
          <cell r="EW3">
            <v>76.75</v>
          </cell>
          <cell r="EX3">
            <v>76.91</v>
          </cell>
          <cell r="EY3">
            <v>77.05</v>
          </cell>
          <cell r="EZ3">
            <v>77.2</v>
          </cell>
          <cell r="FA3">
            <v>77.63</v>
          </cell>
          <cell r="FB3">
            <v>78.36</v>
          </cell>
          <cell r="FC3">
            <v>79.03</v>
          </cell>
          <cell r="FD3">
            <v>79.349999999999994</v>
          </cell>
          <cell r="FE3">
            <v>79.52</v>
          </cell>
          <cell r="FF3">
            <v>79.8</v>
          </cell>
          <cell r="FG3">
            <v>79.88</v>
          </cell>
          <cell r="FH3">
            <v>80.290000000000006</v>
          </cell>
          <cell r="FI3">
            <v>80.930000000000007</v>
          </cell>
          <cell r="FJ3">
            <v>81.25</v>
          </cell>
          <cell r="FK3">
            <v>81.44</v>
          </cell>
          <cell r="FL3">
            <v>81.62</v>
          </cell>
          <cell r="FM3">
            <v>81.66</v>
          </cell>
          <cell r="FN3">
            <v>81.75</v>
          </cell>
          <cell r="FO3">
            <v>82.09</v>
          </cell>
          <cell r="FP3">
            <v>82.83</v>
          </cell>
          <cell r="FQ3">
            <v>83.43</v>
          </cell>
          <cell r="FR3">
            <v>83.67</v>
          </cell>
          <cell r="FS3">
            <v>83.8</v>
          </cell>
          <cell r="FT3">
            <v>84.01</v>
          </cell>
          <cell r="FU3">
            <v>84.19</v>
          </cell>
          <cell r="FV3">
            <v>84.84</v>
          </cell>
          <cell r="FW3">
            <v>85.52</v>
          </cell>
          <cell r="FX3">
            <v>86.18</v>
          </cell>
          <cell r="FY3">
            <v>86.77</v>
          </cell>
          <cell r="FZ3">
            <v>86.94</v>
          </cell>
          <cell r="GA3">
            <v>87.11</v>
          </cell>
          <cell r="GB3">
            <v>87.27</v>
          </cell>
          <cell r="GC3">
            <v>87.62</v>
          </cell>
          <cell r="GD3">
            <v>88.25</v>
          </cell>
          <cell r="GE3">
            <v>88.98</v>
          </cell>
          <cell r="GF3">
            <v>89.36</v>
          </cell>
          <cell r="GG3">
            <v>89.5</v>
          </cell>
          <cell r="GH3">
            <v>89.68</v>
          </cell>
          <cell r="GI3">
            <v>89.8</v>
          </cell>
          <cell r="GJ3">
            <v>89.97</v>
          </cell>
          <cell r="GK3">
            <v>90.16</v>
          </cell>
          <cell r="GL3">
            <v>90.33</v>
          </cell>
          <cell r="GM3">
            <v>90.49</v>
          </cell>
          <cell r="GN3">
            <v>90.63</v>
          </cell>
          <cell r="GO3">
            <v>90.78</v>
          </cell>
          <cell r="GP3">
            <v>90.91</v>
          </cell>
          <cell r="GQ3">
            <v>91.39</v>
          </cell>
          <cell r="GR3">
            <v>91.94</v>
          </cell>
          <cell r="GS3">
            <v>92.52</v>
          </cell>
          <cell r="GT3">
            <v>93.06</v>
          </cell>
          <cell r="GU3">
            <v>93.21</v>
          </cell>
          <cell r="GV3">
            <v>93.36</v>
          </cell>
          <cell r="GW3">
            <v>93.49</v>
          </cell>
          <cell r="GX3">
            <v>94.14</v>
          </cell>
          <cell r="GY3">
            <v>94.71</v>
          </cell>
          <cell r="GZ3">
            <v>95.34</v>
          </cell>
          <cell r="HA3">
            <v>96.14</v>
          </cell>
          <cell r="HB3">
            <v>96.3</v>
          </cell>
          <cell r="HC3">
            <v>96.45</v>
          </cell>
          <cell r="HD3">
            <v>96.58</v>
          </cell>
          <cell r="HE3">
            <v>97.21</v>
          </cell>
          <cell r="HF3">
            <v>97.82</v>
          </cell>
          <cell r="HG3">
            <v>98.47</v>
          </cell>
          <cell r="HH3">
            <v>98.88</v>
          </cell>
          <cell r="HI3">
            <v>99.05</v>
          </cell>
          <cell r="HJ3">
            <v>99.22</v>
          </cell>
          <cell r="HK3">
            <v>99.39</v>
          </cell>
          <cell r="HL3">
            <v>99.69</v>
          </cell>
          <cell r="HM3">
            <v>100.49</v>
          </cell>
          <cell r="HN3">
            <v>101.17</v>
          </cell>
          <cell r="HO3">
            <v>101.53</v>
          </cell>
          <cell r="HP3">
            <v>101.68</v>
          </cell>
          <cell r="HQ3">
            <v>101.81</v>
          </cell>
          <cell r="HR3">
            <v>101.94</v>
          </cell>
          <cell r="HS3">
            <v>102.26</v>
          </cell>
          <cell r="HT3">
            <v>102.98</v>
          </cell>
          <cell r="HU3">
            <v>103.57</v>
          </cell>
          <cell r="HV3">
            <v>104.14</v>
          </cell>
          <cell r="HW3">
            <v>104.44</v>
          </cell>
          <cell r="HX3">
            <v>104.65</v>
          </cell>
          <cell r="HY3">
            <v>104.82</v>
          </cell>
          <cell r="HZ3">
            <v>105.39</v>
          </cell>
          <cell r="IA3">
            <v>105.96</v>
          </cell>
          <cell r="IB3">
            <v>106</v>
          </cell>
          <cell r="IC3">
            <v>106.68</v>
          </cell>
          <cell r="ID3">
            <v>107.19</v>
          </cell>
          <cell r="IE3">
            <v>107.38</v>
          </cell>
          <cell r="IF3">
            <v>107.6</v>
          </cell>
          <cell r="IG3">
            <v>108.24</v>
          </cell>
          <cell r="IH3">
            <v>108.88</v>
          </cell>
          <cell r="II3">
            <v>109.42</v>
          </cell>
          <cell r="IJ3">
            <v>110.1</v>
          </cell>
          <cell r="IK3">
            <v>110.29</v>
          </cell>
          <cell r="IL3">
            <v>110.48</v>
          </cell>
          <cell r="IM3">
            <v>110.65</v>
          </cell>
          <cell r="IN3">
            <v>111.37</v>
          </cell>
          <cell r="IO3">
            <v>111.99</v>
          </cell>
          <cell r="IP3">
            <v>112.47</v>
          </cell>
          <cell r="IQ3">
            <v>112.84</v>
          </cell>
          <cell r="IR3">
            <v>113.32</v>
          </cell>
          <cell r="IS3">
            <v>113.5</v>
          </cell>
          <cell r="IT3">
            <v>113.63</v>
          </cell>
          <cell r="IU3">
            <v>113.81</v>
          </cell>
          <cell r="IV3">
            <v>114.34</v>
          </cell>
          <cell r="IW3">
            <v>114.89</v>
          </cell>
          <cell r="IX3">
            <v>115.42</v>
          </cell>
          <cell r="IY3">
            <v>115.72</v>
          </cell>
          <cell r="IZ3">
            <v>115.91</v>
          </cell>
          <cell r="JA3">
            <v>116.1</v>
          </cell>
          <cell r="JB3">
            <v>116.1</v>
          </cell>
          <cell r="JC3">
            <v>116.83</v>
          </cell>
          <cell r="JD3">
            <v>117.52</v>
          </cell>
          <cell r="JE3">
            <v>117.87</v>
          </cell>
          <cell r="JF3">
            <v>118.03</v>
          </cell>
          <cell r="JG3">
            <v>118.2</v>
          </cell>
          <cell r="JH3">
            <v>118.34</v>
          </cell>
          <cell r="JI3">
            <v>118.61</v>
          </cell>
          <cell r="JJ3">
            <v>119.26</v>
          </cell>
          <cell r="JK3">
            <v>119.84</v>
          </cell>
          <cell r="JL3">
            <v>120.14</v>
          </cell>
          <cell r="JM3">
            <v>120.35</v>
          </cell>
          <cell r="JN3">
            <v>120.48</v>
          </cell>
          <cell r="JO3">
            <v>120.74</v>
          </cell>
          <cell r="JP3">
            <v>121</v>
          </cell>
          <cell r="JQ3">
            <v>121.49</v>
          </cell>
          <cell r="JR3">
            <v>122.07</v>
          </cell>
          <cell r="JS3">
            <v>122.21</v>
          </cell>
          <cell r="JT3">
            <v>122.38</v>
          </cell>
          <cell r="JU3">
            <v>122.55</v>
          </cell>
          <cell r="JV3">
            <v>122.69</v>
          </cell>
          <cell r="JW3">
            <v>123.02</v>
          </cell>
          <cell r="JX3">
            <v>123.72</v>
          </cell>
          <cell r="JY3">
            <v>124.35</v>
          </cell>
          <cell r="JZ3">
            <v>124.95</v>
          </cell>
          <cell r="KA3">
            <v>125.43</v>
          </cell>
          <cell r="KB3">
            <v>125.6</v>
          </cell>
          <cell r="KC3">
            <v>125.75</v>
          </cell>
          <cell r="KD3">
            <v>125.97</v>
          </cell>
          <cell r="KE3">
            <v>126.4</v>
          </cell>
          <cell r="KF3">
            <v>126.83</v>
          </cell>
          <cell r="KG3">
            <v>127.26</v>
          </cell>
          <cell r="KH3">
            <v>127.46</v>
          </cell>
          <cell r="KI3">
            <v>127.69</v>
          </cell>
          <cell r="KJ3">
            <v>127.87</v>
          </cell>
          <cell r="KK3">
            <v>128.56</v>
          </cell>
          <cell r="KL3">
            <v>129.24</v>
          </cell>
          <cell r="KM3">
            <v>129.80000000000001</v>
          </cell>
          <cell r="KN3">
            <v>130.4</v>
          </cell>
          <cell r="KO3">
            <v>130.83000000000001</v>
          </cell>
          <cell r="KP3">
            <v>130.98000000000002</v>
          </cell>
          <cell r="KQ3">
            <v>131.07</v>
          </cell>
          <cell r="KR3">
            <v>131.58000000000001</v>
          </cell>
          <cell r="KS3">
            <v>131.74</v>
          </cell>
          <cell r="KT3">
            <v>131.94</v>
          </cell>
          <cell r="KU3">
            <v>132.41999999999999</v>
          </cell>
          <cell r="KV3">
            <v>132.88</v>
          </cell>
          <cell r="KW3">
            <v>133.16999999999999</v>
          </cell>
          <cell r="KX3">
            <v>133.32</v>
          </cell>
          <cell r="KY3">
            <v>133.46</v>
          </cell>
          <cell r="KZ3">
            <v>133.84</v>
          </cell>
          <cell r="LA3">
            <v>134.37</v>
          </cell>
          <cell r="LB3">
            <v>134.55000000000001</v>
          </cell>
          <cell r="LC3">
            <v>134.78</v>
          </cell>
          <cell r="LD3">
            <v>134.94999999999999</v>
          </cell>
          <cell r="LE3">
            <v>135.12</v>
          </cell>
          <cell r="LF3">
            <v>135.77000000000001</v>
          </cell>
          <cell r="LG3">
            <v>136.36000000000001</v>
          </cell>
          <cell r="LH3">
            <v>136.75</v>
          </cell>
          <cell r="LI3">
            <v>137.35</v>
          </cell>
          <cell r="LJ3">
            <v>137.78</v>
          </cell>
          <cell r="LK3">
            <v>137.97</v>
          </cell>
          <cell r="LL3">
            <v>138.11000000000001</v>
          </cell>
          <cell r="LM3">
            <v>138.72999999999999</v>
          </cell>
          <cell r="LN3">
            <v>139.32</v>
          </cell>
          <cell r="LO3">
            <v>139.86000000000001</v>
          </cell>
          <cell r="LP3">
            <v>140.01</v>
          </cell>
          <cell r="LQ3">
            <v>140.18</v>
          </cell>
          <cell r="LR3">
            <v>140.34</v>
          </cell>
          <cell r="LS3">
            <v>140.49</v>
          </cell>
          <cell r="LT3">
            <v>140.76</v>
          </cell>
          <cell r="LU3">
            <v>141.4</v>
          </cell>
          <cell r="LV3">
            <v>142.03</v>
          </cell>
          <cell r="LW3">
            <v>142.66999999999999</v>
          </cell>
          <cell r="LX3">
            <v>142.88</v>
          </cell>
          <cell r="LY3">
            <v>142.99</v>
          </cell>
          <cell r="LZ3">
            <v>143.13</v>
          </cell>
          <cell r="MA3">
            <v>143.81</v>
          </cell>
          <cell r="MB3">
            <v>0</v>
          </cell>
          <cell r="MC3">
            <v>0</v>
          </cell>
          <cell r="MD3">
            <v>0</v>
          </cell>
          <cell r="ME3">
            <v>0</v>
          </cell>
          <cell r="MF3">
            <v>0</v>
          </cell>
          <cell r="MG3">
            <v>0</v>
          </cell>
          <cell r="MH3">
            <v>0</v>
          </cell>
        </row>
        <row r="4">
          <cell r="A4" t="str">
            <v>sd 22</v>
          </cell>
          <cell r="B4">
            <v>51</v>
          </cell>
          <cell r="C4">
            <v>51.1</v>
          </cell>
          <cell r="D4">
            <v>51.26</v>
          </cell>
          <cell r="E4">
            <v>52.31</v>
          </cell>
          <cell r="F4">
            <v>53.07</v>
          </cell>
          <cell r="G4">
            <v>53.21</v>
          </cell>
          <cell r="H4">
            <v>53.37</v>
          </cell>
          <cell r="I4">
            <v>53.52</v>
          </cell>
          <cell r="J4">
            <v>54.65</v>
          </cell>
          <cell r="K4">
            <v>55.65</v>
          </cell>
          <cell r="L4">
            <v>56.62</v>
          </cell>
          <cell r="M4">
            <v>57.75</v>
          </cell>
          <cell r="N4">
            <v>58.54</v>
          </cell>
          <cell r="O4">
            <v>58.82</v>
          </cell>
          <cell r="P4">
            <v>58.99</v>
          </cell>
          <cell r="Q4">
            <v>59.84</v>
          </cell>
          <cell r="R4">
            <v>60.74</v>
          </cell>
          <cell r="S4">
            <v>61.8</v>
          </cell>
          <cell r="T4">
            <v>62.84</v>
          </cell>
          <cell r="U4">
            <v>64.05</v>
          </cell>
          <cell r="V4">
            <v>64.599999999999994</v>
          </cell>
          <cell r="W4">
            <v>64.75</v>
          </cell>
          <cell r="X4">
            <v>65.86</v>
          </cell>
          <cell r="Y4">
            <v>67.02</v>
          </cell>
          <cell r="Z4">
            <v>68.2</v>
          </cell>
          <cell r="AA4">
            <v>69.3</v>
          </cell>
          <cell r="AB4">
            <v>70.48</v>
          </cell>
          <cell r="AC4">
            <v>70.88</v>
          </cell>
          <cell r="AD4">
            <v>71.06</v>
          </cell>
          <cell r="AE4">
            <v>72.22</v>
          </cell>
          <cell r="AF4">
            <v>73.400000000000006</v>
          </cell>
          <cell r="AG4">
            <v>74.55</v>
          </cell>
          <cell r="AH4">
            <v>75.59</v>
          </cell>
          <cell r="AI4">
            <v>76.34</v>
          </cell>
          <cell r="AJ4">
            <v>76.52</v>
          </cell>
          <cell r="AK4">
            <v>76.67</v>
          </cell>
          <cell r="AL4">
            <v>76.84</v>
          </cell>
          <cell r="AM4">
            <v>77.91</v>
          </cell>
          <cell r="AN4">
            <v>78.87</v>
          </cell>
          <cell r="AO4">
            <v>79.72</v>
          </cell>
          <cell r="AP4">
            <v>80.73</v>
          </cell>
          <cell r="AQ4">
            <v>80.959999999999994</v>
          </cell>
          <cell r="AR4">
            <v>81.12</v>
          </cell>
          <cell r="AS4">
            <v>82.27</v>
          </cell>
          <cell r="AT4">
            <v>83.41</v>
          </cell>
          <cell r="AU4">
            <v>84.2</v>
          </cell>
          <cell r="AV4">
            <v>85.28</v>
          </cell>
          <cell r="AW4">
            <v>86.4</v>
          </cell>
          <cell r="AX4">
            <v>87.45</v>
          </cell>
          <cell r="AY4">
            <v>88.66</v>
          </cell>
          <cell r="AZ4">
            <v>89.76</v>
          </cell>
          <cell r="BA4">
            <v>90.86</v>
          </cell>
          <cell r="BB4">
            <v>91.91</v>
          </cell>
          <cell r="BC4">
            <v>92.97</v>
          </cell>
          <cell r="BD4">
            <v>93.98</v>
          </cell>
          <cell r="BE4">
            <v>95.15</v>
          </cell>
          <cell r="BF4">
            <v>96.3</v>
          </cell>
          <cell r="BG4">
            <v>97.3</v>
          </cell>
          <cell r="BH4">
            <v>98.39</v>
          </cell>
          <cell r="BI4">
            <v>99.37</v>
          </cell>
          <cell r="BJ4">
            <v>100.49</v>
          </cell>
          <cell r="BK4">
            <v>101.61</v>
          </cell>
          <cell r="BL4">
            <v>102.66</v>
          </cell>
          <cell r="BM4">
            <v>103.8</v>
          </cell>
          <cell r="BN4">
            <v>104.86</v>
          </cell>
          <cell r="BO4">
            <v>105.98</v>
          </cell>
          <cell r="BP4">
            <v>106.98</v>
          </cell>
          <cell r="BQ4">
            <v>108.11</v>
          </cell>
          <cell r="BR4">
            <v>109.31</v>
          </cell>
          <cell r="BS4">
            <v>110.4</v>
          </cell>
          <cell r="BT4">
            <v>110.96</v>
          </cell>
          <cell r="BU4">
            <v>111.39</v>
          </cell>
          <cell r="BV4">
            <v>112.28</v>
          </cell>
          <cell r="BW4">
            <v>113.31</v>
          </cell>
          <cell r="BX4">
            <v>114.42</v>
          </cell>
          <cell r="BY4">
            <v>115.56</v>
          </cell>
          <cell r="BZ4">
            <v>115.81</v>
          </cell>
          <cell r="CA4">
            <v>115.97</v>
          </cell>
          <cell r="CB4">
            <v>116.12</v>
          </cell>
          <cell r="CC4">
            <v>116.99</v>
          </cell>
          <cell r="CD4">
            <v>117.86</v>
          </cell>
          <cell r="CE4">
            <v>118.34</v>
          </cell>
          <cell r="CF4">
            <v>118.48</v>
          </cell>
          <cell r="CG4">
            <v>118.68</v>
          </cell>
          <cell r="CH4">
            <v>118.92</v>
          </cell>
          <cell r="CI4">
            <v>119.72</v>
          </cell>
          <cell r="CJ4">
            <v>120.7</v>
          </cell>
          <cell r="CK4">
            <v>121.81</v>
          </cell>
          <cell r="CL4">
            <v>122.93</v>
          </cell>
          <cell r="CM4">
            <v>123.39</v>
          </cell>
          <cell r="CN4">
            <v>123.53</v>
          </cell>
          <cell r="CO4">
            <v>123.64</v>
          </cell>
          <cell r="CP4">
            <v>124.21</v>
          </cell>
          <cell r="CQ4">
            <v>125.26</v>
          </cell>
          <cell r="CR4">
            <v>126.33</v>
          </cell>
          <cell r="CS4">
            <v>127.49</v>
          </cell>
          <cell r="CT4">
            <v>127.93</v>
          </cell>
          <cell r="CU4">
            <v>128.07</v>
          </cell>
          <cell r="CV4">
            <v>128.25</v>
          </cell>
          <cell r="CW4">
            <v>129.4</v>
          </cell>
          <cell r="CX4">
            <v>130.47</v>
          </cell>
          <cell r="CY4">
            <v>131.63</v>
          </cell>
          <cell r="CZ4">
            <v>132.57</v>
          </cell>
          <cell r="DA4">
            <v>133.32</v>
          </cell>
          <cell r="DB4">
            <v>133.47999999999999</v>
          </cell>
          <cell r="DC4">
            <v>133.61000000000001</v>
          </cell>
          <cell r="DD4">
            <v>133.76</v>
          </cell>
          <cell r="DE4">
            <v>133.93</v>
          </cell>
          <cell r="DF4">
            <v>134.08000000000001</v>
          </cell>
          <cell r="DG4">
            <v>134.25</v>
          </cell>
          <cell r="DH4">
            <v>134.38</v>
          </cell>
          <cell r="DI4">
            <v>134.5</v>
          </cell>
          <cell r="DJ4">
            <v>134.5</v>
          </cell>
          <cell r="DK4">
            <v>135.07</v>
          </cell>
          <cell r="DL4">
            <v>136.07</v>
          </cell>
          <cell r="DM4">
            <v>137.07</v>
          </cell>
          <cell r="DN4">
            <v>138.19999999999999</v>
          </cell>
          <cell r="DO4">
            <v>138.91</v>
          </cell>
          <cell r="DP4">
            <v>1439.18</v>
          </cell>
          <cell r="DQ4">
            <v>139.33000000000001</v>
          </cell>
          <cell r="DR4">
            <v>140.31</v>
          </cell>
          <cell r="DS4">
            <v>141.13999999999999</v>
          </cell>
          <cell r="DT4">
            <v>141.47</v>
          </cell>
          <cell r="DU4">
            <v>142.66</v>
          </cell>
          <cell r="DV4">
            <v>143.91999999999999</v>
          </cell>
          <cell r="DW4">
            <v>144.72999999999999</v>
          </cell>
          <cell r="DX4">
            <v>144.87</v>
          </cell>
          <cell r="DY4">
            <v>145.03</v>
          </cell>
          <cell r="DZ4">
            <v>145.36000000000001</v>
          </cell>
          <cell r="EA4">
            <v>146.32</v>
          </cell>
          <cell r="EB4">
            <v>147.44999999999999</v>
          </cell>
          <cell r="EC4">
            <v>148.72999999999999</v>
          </cell>
          <cell r="ED4">
            <v>149.03</v>
          </cell>
          <cell r="EE4">
            <v>145.98999999999998</v>
          </cell>
          <cell r="EF4">
            <v>146.99569999999997</v>
          </cell>
          <cell r="EG4">
            <v>149.19999999999999</v>
          </cell>
          <cell r="EH4">
            <v>145.20000000000002</v>
          </cell>
          <cell r="EI4">
            <v>153.56</v>
          </cell>
          <cell r="EJ4">
            <v>154.19</v>
          </cell>
          <cell r="EK4">
            <v>155.29</v>
          </cell>
          <cell r="EL4">
            <v>155.47</v>
          </cell>
          <cell r="EM4">
            <v>155.94999999999999</v>
          </cell>
          <cell r="EN4">
            <v>157.01</v>
          </cell>
          <cell r="EO4">
            <v>158.09</v>
          </cell>
          <cell r="EP4">
            <v>159.11000000000001</v>
          </cell>
          <cell r="EQ4">
            <v>159.30000000000001</v>
          </cell>
          <cell r="ER4">
            <v>159.46</v>
          </cell>
          <cell r="ES4">
            <v>159.58000000000001</v>
          </cell>
          <cell r="ET4">
            <v>159.94</v>
          </cell>
          <cell r="EU4">
            <v>160.41</v>
          </cell>
          <cell r="EV4">
            <v>161.11000000000001</v>
          </cell>
          <cell r="EW4">
            <v>161.65</v>
          </cell>
          <cell r="EX4">
            <v>161.94</v>
          </cell>
          <cell r="EY4">
            <v>162.07</v>
          </cell>
          <cell r="EZ4">
            <v>162.21</v>
          </cell>
          <cell r="FA4">
            <v>162.35</v>
          </cell>
          <cell r="FB4">
            <v>162.47999999999999</v>
          </cell>
          <cell r="FC4">
            <v>162.61000000000001</v>
          </cell>
          <cell r="FD4">
            <v>162.74</v>
          </cell>
          <cell r="FE4">
            <v>162.87</v>
          </cell>
          <cell r="FF4">
            <v>163</v>
          </cell>
          <cell r="FG4">
            <v>163.13</v>
          </cell>
          <cell r="FH4">
            <v>163.26</v>
          </cell>
          <cell r="FI4">
            <v>163.38999999999999</v>
          </cell>
          <cell r="FJ4">
            <v>163.61000000000001</v>
          </cell>
          <cell r="FK4">
            <v>163.86</v>
          </cell>
          <cell r="FL4">
            <v>164.14</v>
          </cell>
          <cell r="FM4">
            <v>164.18</v>
          </cell>
          <cell r="FN4">
            <v>164.28</v>
          </cell>
          <cell r="FO4">
            <v>164.83</v>
          </cell>
          <cell r="FP4">
            <v>165.87</v>
          </cell>
          <cell r="FQ4">
            <v>167.06</v>
          </cell>
          <cell r="FR4">
            <v>168.21</v>
          </cell>
          <cell r="FS4">
            <v>169.45</v>
          </cell>
          <cell r="FT4">
            <v>169.61</v>
          </cell>
          <cell r="FU4">
            <v>169.78</v>
          </cell>
          <cell r="FV4">
            <v>170.85</v>
          </cell>
          <cell r="FW4">
            <v>171.95</v>
          </cell>
          <cell r="FX4">
            <v>173.03</v>
          </cell>
          <cell r="FY4">
            <v>173.31</v>
          </cell>
          <cell r="FZ4">
            <v>173.51</v>
          </cell>
          <cell r="GA4">
            <v>173.67</v>
          </cell>
          <cell r="GB4">
            <v>173.83</v>
          </cell>
          <cell r="GC4">
            <v>174.99</v>
          </cell>
          <cell r="GD4">
            <v>176.07</v>
          </cell>
          <cell r="GE4">
            <v>177.19</v>
          </cell>
          <cell r="GF4">
            <v>178.34</v>
          </cell>
          <cell r="GG4">
            <v>179.5</v>
          </cell>
          <cell r="GH4">
            <v>179.99</v>
          </cell>
          <cell r="GI4">
            <v>180.12</v>
          </cell>
          <cell r="GJ4">
            <v>180.95</v>
          </cell>
          <cell r="GK4">
            <v>181.68</v>
          </cell>
          <cell r="GL4">
            <v>182.25</v>
          </cell>
          <cell r="GM4">
            <v>182.54</v>
          </cell>
          <cell r="GN4">
            <v>182.7</v>
          </cell>
          <cell r="GO4">
            <v>182.85</v>
          </cell>
          <cell r="GP4">
            <v>182.99</v>
          </cell>
          <cell r="GQ4">
            <v>183.49</v>
          </cell>
          <cell r="GR4">
            <v>184.57</v>
          </cell>
          <cell r="GS4">
            <v>185.53</v>
          </cell>
          <cell r="GT4">
            <v>186.58</v>
          </cell>
          <cell r="GU4">
            <v>187.63</v>
          </cell>
          <cell r="GV4">
            <v>188.1</v>
          </cell>
          <cell r="GW4">
            <v>188.27</v>
          </cell>
          <cell r="GX4">
            <v>189.4</v>
          </cell>
          <cell r="GY4">
            <v>190.12</v>
          </cell>
          <cell r="GZ4">
            <v>190.75</v>
          </cell>
          <cell r="HA4">
            <v>191.63</v>
          </cell>
          <cell r="HB4">
            <v>192.71</v>
          </cell>
          <cell r="HC4">
            <v>193.74</v>
          </cell>
          <cell r="HD4">
            <v>194.03</v>
          </cell>
          <cell r="HE4">
            <v>194.96</v>
          </cell>
          <cell r="HF4">
            <v>195.81</v>
          </cell>
          <cell r="HG4">
            <v>196.75</v>
          </cell>
          <cell r="HH4">
            <v>197.86</v>
          </cell>
          <cell r="HI4">
            <v>198.93</v>
          </cell>
          <cell r="HJ4">
            <v>200.06</v>
          </cell>
          <cell r="HK4">
            <v>200.41</v>
          </cell>
          <cell r="HL4">
            <v>201.51</v>
          </cell>
          <cell r="HM4">
            <v>202.53</v>
          </cell>
          <cell r="HN4">
            <v>203.54</v>
          </cell>
          <cell r="HO4">
            <v>204.57</v>
          </cell>
          <cell r="HP4">
            <v>205.74</v>
          </cell>
          <cell r="HQ4">
            <v>206.67</v>
          </cell>
          <cell r="HR4">
            <v>207.72</v>
          </cell>
          <cell r="HS4">
            <v>208.73</v>
          </cell>
          <cell r="HT4">
            <v>209.75</v>
          </cell>
          <cell r="HU4">
            <v>210.88</v>
          </cell>
          <cell r="HV4">
            <v>211.58</v>
          </cell>
          <cell r="HW4">
            <v>212.54</v>
          </cell>
          <cell r="HX4">
            <v>213.69</v>
          </cell>
          <cell r="HY4">
            <v>214.63</v>
          </cell>
          <cell r="HZ4">
            <v>215.32</v>
          </cell>
          <cell r="IA4">
            <v>216.01</v>
          </cell>
          <cell r="IB4">
            <v>216.21</v>
          </cell>
          <cell r="IC4">
            <v>217.16</v>
          </cell>
          <cell r="ID4">
            <v>218.13</v>
          </cell>
          <cell r="IE4">
            <v>219.09</v>
          </cell>
          <cell r="IF4">
            <v>219.92</v>
          </cell>
          <cell r="IG4">
            <v>221.01</v>
          </cell>
          <cell r="IH4">
            <v>221.94</v>
          </cell>
          <cell r="II4">
            <v>222.91</v>
          </cell>
          <cell r="IJ4">
            <v>223.88</v>
          </cell>
          <cell r="IK4">
            <v>224.95</v>
          </cell>
          <cell r="IL4">
            <v>225.91</v>
          </cell>
          <cell r="IM4">
            <v>226.8</v>
          </cell>
          <cell r="IN4">
            <v>227.75</v>
          </cell>
          <cell r="IO4">
            <v>228.79</v>
          </cell>
          <cell r="IP4">
            <v>229.25</v>
          </cell>
          <cell r="IQ4">
            <v>229.92</v>
          </cell>
          <cell r="IR4">
            <v>230.84</v>
          </cell>
          <cell r="IS4">
            <v>231.98</v>
          </cell>
          <cell r="IT4">
            <v>232.24</v>
          </cell>
          <cell r="IU4">
            <v>233.18</v>
          </cell>
          <cell r="IV4">
            <v>233.7</v>
          </cell>
          <cell r="IW4">
            <v>234.67</v>
          </cell>
          <cell r="IX4">
            <v>235.42</v>
          </cell>
          <cell r="IY4">
            <v>236.25</v>
          </cell>
          <cell r="IZ4">
            <v>236.41</v>
          </cell>
          <cell r="JA4">
            <v>236.56</v>
          </cell>
          <cell r="JB4">
            <v>236.56</v>
          </cell>
          <cell r="JC4">
            <v>237.58</v>
          </cell>
          <cell r="JD4">
            <v>238.61</v>
          </cell>
          <cell r="JE4">
            <v>239.27</v>
          </cell>
          <cell r="JF4">
            <v>239.48</v>
          </cell>
          <cell r="JG4">
            <v>239.65</v>
          </cell>
          <cell r="JH4">
            <v>239.77</v>
          </cell>
          <cell r="JI4">
            <v>240.25</v>
          </cell>
          <cell r="JJ4">
            <v>241.07</v>
          </cell>
          <cell r="JK4">
            <v>241.23</v>
          </cell>
          <cell r="JL4">
            <v>241.59</v>
          </cell>
          <cell r="JM4">
            <v>242.47</v>
          </cell>
          <cell r="JN4">
            <v>242.64</v>
          </cell>
          <cell r="JO4">
            <v>243.84</v>
          </cell>
          <cell r="JP4">
            <v>244.57</v>
          </cell>
          <cell r="JQ4">
            <v>245.43</v>
          </cell>
          <cell r="JR4">
            <v>246.19</v>
          </cell>
          <cell r="JS4">
            <v>247.13</v>
          </cell>
          <cell r="JT4">
            <v>247.92</v>
          </cell>
          <cell r="JU4">
            <v>248.35</v>
          </cell>
          <cell r="JV4">
            <v>248.52</v>
          </cell>
          <cell r="JW4">
            <v>249.42</v>
          </cell>
          <cell r="JX4">
            <v>250.16</v>
          </cell>
          <cell r="JY4">
            <v>251</v>
          </cell>
          <cell r="JZ4">
            <v>251.89</v>
          </cell>
          <cell r="KA4">
            <v>252.53</v>
          </cell>
          <cell r="KB4">
            <v>253.16</v>
          </cell>
          <cell r="KC4">
            <v>253.29</v>
          </cell>
          <cell r="KD4">
            <v>253.51</v>
          </cell>
          <cell r="KE4">
            <v>254.37</v>
          </cell>
          <cell r="KF4">
            <v>255.25</v>
          </cell>
          <cell r="KG4">
            <v>256.05</v>
          </cell>
          <cell r="KH4">
            <v>256.64999999999998</v>
          </cell>
          <cell r="KI4">
            <v>257.3</v>
          </cell>
          <cell r="KJ4">
            <v>257.45999999999998</v>
          </cell>
          <cell r="KK4">
            <v>258.22000000000003</v>
          </cell>
          <cell r="KL4">
            <v>259.31</v>
          </cell>
          <cell r="KM4">
            <v>260.3</v>
          </cell>
          <cell r="KN4">
            <v>261.18</v>
          </cell>
          <cell r="KO4">
            <v>262.20999999999998</v>
          </cell>
          <cell r="KP4">
            <v>262.51</v>
          </cell>
          <cell r="KQ4">
            <v>262.69</v>
          </cell>
          <cell r="KR4">
            <v>263.77999999999997</v>
          </cell>
          <cell r="KS4">
            <v>264.77999999999997</v>
          </cell>
          <cell r="KT4">
            <v>265.76</v>
          </cell>
          <cell r="KU4">
            <v>266.74</v>
          </cell>
          <cell r="KV4">
            <v>267.79000000000002</v>
          </cell>
          <cell r="KW4">
            <v>268.07</v>
          </cell>
          <cell r="KX4">
            <v>268.20999999999998</v>
          </cell>
          <cell r="KY4">
            <v>269.12</v>
          </cell>
          <cell r="KZ4">
            <v>269.89999999999998</v>
          </cell>
          <cell r="LA4">
            <v>270.93</v>
          </cell>
          <cell r="LB4">
            <v>272.06</v>
          </cell>
          <cell r="LC4">
            <v>272.5</v>
          </cell>
          <cell r="LD4">
            <v>272.66000000000003</v>
          </cell>
          <cell r="LE4">
            <v>272.81</v>
          </cell>
          <cell r="LF4">
            <v>273.64</v>
          </cell>
          <cell r="LG4">
            <v>274.52</v>
          </cell>
          <cell r="LH4">
            <v>275.37</v>
          </cell>
          <cell r="LI4">
            <v>276.44</v>
          </cell>
          <cell r="LJ4">
            <v>277.39999999999998</v>
          </cell>
          <cell r="LK4">
            <v>278.33999999999997</v>
          </cell>
          <cell r="LL4">
            <v>278.47000000000003</v>
          </cell>
          <cell r="LM4">
            <v>279.5</v>
          </cell>
          <cell r="LN4">
            <v>280.52</v>
          </cell>
          <cell r="LO4">
            <v>281.17</v>
          </cell>
          <cell r="LP4">
            <v>281.98</v>
          </cell>
          <cell r="LQ4">
            <v>283.08999999999997</v>
          </cell>
          <cell r="LR4">
            <v>283.89999999999998</v>
          </cell>
          <cell r="LS4">
            <v>284.10000000000002</v>
          </cell>
          <cell r="LT4">
            <v>284.79000000000002</v>
          </cell>
          <cell r="LU4">
            <v>285.83999999999997</v>
          </cell>
          <cell r="LV4">
            <v>286.86</v>
          </cell>
          <cell r="LW4">
            <v>287.88</v>
          </cell>
          <cell r="LX4">
            <v>289.08</v>
          </cell>
          <cell r="LY4">
            <v>289.91999999999996</v>
          </cell>
          <cell r="LZ4">
            <v>290.89</v>
          </cell>
          <cell r="MA4">
            <v>291.86</v>
          </cell>
          <cell r="MB4">
            <v>0</v>
          </cell>
          <cell r="MC4">
            <v>0</v>
          </cell>
          <cell r="MD4">
            <v>0</v>
          </cell>
          <cell r="ME4">
            <v>0</v>
          </cell>
          <cell r="MF4">
            <v>0</v>
          </cell>
          <cell r="MG4">
            <v>0</v>
          </cell>
          <cell r="MH4">
            <v>0</v>
          </cell>
        </row>
        <row r="5">
          <cell r="A5" t="str">
            <v>sd 24</v>
          </cell>
          <cell r="B5">
            <v>29.75</v>
          </cell>
          <cell r="C5">
            <v>29.81</v>
          </cell>
          <cell r="D5">
            <v>29.98</v>
          </cell>
          <cell r="E5">
            <v>30.12</v>
          </cell>
          <cell r="F5">
            <v>30.26</v>
          </cell>
          <cell r="G5">
            <v>30.39</v>
          </cell>
          <cell r="H5">
            <v>30.53</v>
          </cell>
          <cell r="I5">
            <v>30.66</v>
          </cell>
          <cell r="J5">
            <v>31.62</v>
          </cell>
          <cell r="K5">
            <v>32.71</v>
          </cell>
          <cell r="L5">
            <v>33.840000000000003</v>
          </cell>
          <cell r="M5">
            <v>34.28</v>
          </cell>
          <cell r="N5">
            <v>34.43</v>
          </cell>
          <cell r="O5">
            <v>34.58</v>
          </cell>
          <cell r="P5">
            <v>34.72</v>
          </cell>
          <cell r="Q5">
            <v>34.9</v>
          </cell>
          <cell r="R5">
            <v>35.96</v>
          </cell>
          <cell r="S5">
            <v>37.01</v>
          </cell>
          <cell r="T5">
            <v>38.15</v>
          </cell>
          <cell r="U5">
            <v>38.869999999999997</v>
          </cell>
          <cell r="V5">
            <v>39.01</v>
          </cell>
          <cell r="W5">
            <v>39.15</v>
          </cell>
          <cell r="X5">
            <v>40.229999999999997</v>
          </cell>
          <cell r="Y5">
            <v>41.24</v>
          </cell>
          <cell r="Z5">
            <v>42.36</v>
          </cell>
          <cell r="AA5">
            <v>42.79</v>
          </cell>
          <cell r="AB5">
            <v>42.97</v>
          </cell>
          <cell r="AC5">
            <v>43.1</v>
          </cell>
          <cell r="AD5">
            <v>43.25</v>
          </cell>
          <cell r="AE5">
            <v>44.42</v>
          </cell>
          <cell r="AF5">
            <v>45.38</v>
          </cell>
          <cell r="AG5">
            <v>46.41</v>
          </cell>
          <cell r="AH5">
            <v>46.72</v>
          </cell>
          <cell r="AI5">
            <v>46.83</v>
          </cell>
          <cell r="AJ5">
            <v>49.96</v>
          </cell>
          <cell r="AK5">
            <v>47.07</v>
          </cell>
          <cell r="AL5">
            <v>47.21</v>
          </cell>
          <cell r="AM5">
            <v>48.32</v>
          </cell>
          <cell r="AN5">
            <v>49.3</v>
          </cell>
          <cell r="AO5">
            <v>49.71</v>
          </cell>
          <cell r="AP5">
            <v>49.85</v>
          </cell>
          <cell r="AQ5">
            <v>49.97</v>
          </cell>
          <cell r="AR5">
            <v>50.12</v>
          </cell>
          <cell r="AS5">
            <v>51.17</v>
          </cell>
          <cell r="AT5">
            <v>52.26</v>
          </cell>
          <cell r="AU5">
            <v>53.39</v>
          </cell>
          <cell r="AV5">
            <v>54.4</v>
          </cell>
          <cell r="AW5">
            <v>54.7</v>
          </cell>
          <cell r="AX5">
            <v>54.84</v>
          </cell>
          <cell r="AY5">
            <v>54.99</v>
          </cell>
          <cell r="AZ5">
            <v>56.05</v>
          </cell>
          <cell r="BA5">
            <v>57.14</v>
          </cell>
          <cell r="BB5">
            <v>58.23</v>
          </cell>
          <cell r="BC5">
            <v>58.81</v>
          </cell>
          <cell r="BD5">
            <v>58.97</v>
          </cell>
          <cell r="BE5">
            <v>59.12</v>
          </cell>
          <cell r="BF5">
            <v>59.27</v>
          </cell>
          <cell r="BG5">
            <v>59.39</v>
          </cell>
          <cell r="BH5">
            <v>59.51</v>
          </cell>
          <cell r="BI5">
            <v>59.62</v>
          </cell>
          <cell r="BJ5">
            <v>59.75</v>
          </cell>
          <cell r="BK5">
            <v>59.99</v>
          </cell>
          <cell r="BL5">
            <v>60.13</v>
          </cell>
          <cell r="BM5">
            <v>60.3</v>
          </cell>
          <cell r="BN5">
            <v>60.58</v>
          </cell>
          <cell r="BO5">
            <v>61.58</v>
          </cell>
          <cell r="BP5">
            <v>62.61</v>
          </cell>
          <cell r="BQ5">
            <v>63.72</v>
          </cell>
          <cell r="BR5">
            <v>63.97</v>
          </cell>
          <cell r="BS5">
            <v>64.11</v>
          </cell>
          <cell r="BT5">
            <v>64.27</v>
          </cell>
          <cell r="BU5">
            <v>65.44</v>
          </cell>
          <cell r="BV5">
            <v>66.569999999999993</v>
          </cell>
          <cell r="BW5">
            <v>67.72</v>
          </cell>
          <cell r="BX5">
            <v>68.39</v>
          </cell>
          <cell r="BY5">
            <v>68.540000000000006</v>
          </cell>
          <cell r="BZ5">
            <v>68.69</v>
          </cell>
          <cell r="CA5">
            <v>68.819999999999993</v>
          </cell>
          <cell r="CB5">
            <v>68.98</v>
          </cell>
          <cell r="CC5">
            <v>70.17</v>
          </cell>
          <cell r="CD5">
            <v>71.260000000000005</v>
          </cell>
          <cell r="CE5">
            <v>71.41</v>
          </cell>
          <cell r="CF5">
            <v>71.56</v>
          </cell>
          <cell r="CG5">
            <v>71.7</v>
          </cell>
          <cell r="CH5">
            <v>71.84</v>
          </cell>
          <cell r="CI5">
            <v>72.12</v>
          </cell>
          <cell r="CJ5">
            <v>73.27</v>
          </cell>
          <cell r="CK5">
            <v>74.39</v>
          </cell>
          <cell r="CL5">
            <v>74.819999999999993</v>
          </cell>
          <cell r="CM5">
            <v>74.98</v>
          </cell>
          <cell r="CN5">
            <v>75.13</v>
          </cell>
          <cell r="CO5">
            <v>75.28</v>
          </cell>
          <cell r="CP5">
            <v>75.75</v>
          </cell>
          <cell r="CQ5">
            <v>76.87</v>
          </cell>
          <cell r="CR5">
            <v>77.55</v>
          </cell>
          <cell r="CS5">
            <v>77.69</v>
          </cell>
          <cell r="CT5">
            <v>77.83</v>
          </cell>
          <cell r="CU5">
            <v>77.97</v>
          </cell>
          <cell r="CV5">
            <v>78.099999999999994</v>
          </cell>
          <cell r="CW5">
            <v>78.25</v>
          </cell>
          <cell r="CX5">
            <v>78.37</v>
          </cell>
          <cell r="CY5">
            <v>78.489999999999995</v>
          </cell>
          <cell r="CZ5">
            <v>78.73</v>
          </cell>
          <cell r="DA5">
            <v>78.89</v>
          </cell>
          <cell r="DB5">
            <v>79.069999999999993</v>
          </cell>
          <cell r="DC5">
            <v>79.2</v>
          </cell>
          <cell r="DD5">
            <v>79.3</v>
          </cell>
          <cell r="DE5">
            <v>79.349999999999994</v>
          </cell>
          <cell r="DF5">
            <v>79.39</v>
          </cell>
          <cell r="DG5">
            <v>79.430000000000007</v>
          </cell>
          <cell r="DH5">
            <v>79.47</v>
          </cell>
          <cell r="DI5">
            <v>79.540000000000006</v>
          </cell>
          <cell r="DJ5">
            <v>79.540000000000006</v>
          </cell>
          <cell r="DK5">
            <v>79.83</v>
          </cell>
          <cell r="DL5">
            <v>80.94</v>
          </cell>
          <cell r="DM5">
            <v>82.01</v>
          </cell>
          <cell r="DN5">
            <v>82.95</v>
          </cell>
          <cell r="DO5">
            <v>83.11</v>
          </cell>
          <cell r="DP5">
            <v>83.24</v>
          </cell>
          <cell r="DQ5">
            <v>83.36</v>
          </cell>
          <cell r="DR5">
            <v>84.39</v>
          </cell>
          <cell r="DS5">
            <v>85.51</v>
          </cell>
          <cell r="DT5">
            <v>85.72</v>
          </cell>
          <cell r="DU5">
            <v>86.1</v>
          </cell>
          <cell r="DV5">
            <v>86.25</v>
          </cell>
          <cell r="DW5">
            <v>86.37</v>
          </cell>
          <cell r="DX5">
            <v>86.48</v>
          </cell>
          <cell r="DY5">
            <v>86.66</v>
          </cell>
          <cell r="DZ5">
            <v>87.72</v>
          </cell>
          <cell r="EA5">
            <v>88.84</v>
          </cell>
          <cell r="EB5">
            <v>89.86</v>
          </cell>
          <cell r="EC5">
            <v>90.25</v>
          </cell>
          <cell r="ED5">
            <v>90.38</v>
          </cell>
          <cell r="EE5">
            <v>87.78</v>
          </cell>
          <cell r="EF5">
            <v>88.687799999999996</v>
          </cell>
          <cell r="EG5">
            <v>90.48</v>
          </cell>
          <cell r="EH5">
            <v>87.54</v>
          </cell>
          <cell r="EI5">
            <v>93.95</v>
          </cell>
          <cell r="EJ5">
            <v>94.1</v>
          </cell>
          <cell r="EK5">
            <v>94.26</v>
          </cell>
          <cell r="EL5">
            <v>94.35</v>
          </cell>
          <cell r="EM5">
            <v>94.87</v>
          </cell>
          <cell r="EN5">
            <v>95.93</v>
          </cell>
          <cell r="EO5">
            <v>96.92</v>
          </cell>
          <cell r="EP5">
            <v>97.99</v>
          </cell>
          <cell r="EQ5">
            <v>99.07</v>
          </cell>
          <cell r="ER5">
            <v>99.2</v>
          </cell>
          <cell r="ES5">
            <v>99.38</v>
          </cell>
          <cell r="ET5">
            <v>99.73</v>
          </cell>
          <cell r="EU5">
            <v>100.77</v>
          </cell>
          <cell r="EV5">
            <v>101.84</v>
          </cell>
          <cell r="EW5">
            <v>103.01</v>
          </cell>
          <cell r="EX5">
            <v>103.95</v>
          </cell>
          <cell r="EY5">
            <v>104.1</v>
          </cell>
          <cell r="EZ5">
            <v>104.26</v>
          </cell>
          <cell r="FA5">
            <v>105.4</v>
          </cell>
          <cell r="FB5">
            <v>106.51</v>
          </cell>
          <cell r="FC5">
            <v>107.57</v>
          </cell>
          <cell r="FD5">
            <v>107.99</v>
          </cell>
          <cell r="FE5">
            <v>108.11</v>
          </cell>
          <cell r="FF5">
            <v>108.23</v>
          </cell>
          <cell r="FG5">
            <v>108.35</v>
          </cell>
          <cell r="FH5">
            <v>108.68</v>
          </cell>
          <cell r="FI5">
            <v>109.85</v>
          </cell>
          <cell r="FJ5">
            <v>110.93</v>
          </cell>
          <cell r="FK5">
            <v>112.12</v>
          </cell>
          <cell r="FL5">
            <v>112.87</v>
          </cell>
          <cell r="FM5">
            <v>112.91</v>
          </cell>
          <cell r="FN5">
            <v>113</v>
          </cell>
          <cell r="FO5">
            <v>113.25</v>
          </cell>
          <cell r="FP5">
            <v>114.42</v>
          </cell>
          <cell r="FQ5">
            <v>115.57</v>
          </cell>
          <cell r="FR5">
            <v>116.72</v>
          </cell>
          <cell r="FS5">
            <v>117.04</v>
          </cell>
          <cell r="FT5">
            <v>117.23</v>
          </cell>
          <cell r="FU5">
            <v>117.39</v>
          </cell>
          <cell r="FV5">
            <v>118.55</v>
          </cell>
          <cell r="FW5">
            <v>119.67</v>
          </cell>
          <cell r="FX5">
            <v>120.75</v>
          </cell>
          <cell r="FY5">
            <v>121.74</v>
          </cell>
          <cell r="FZ5">
            <v>122.27</v>
          </cell>
          <cell r="GA5">
            <v>122.55</v>
          </cell>
          <cell r="GB5">
            <v>122.73</v>
          </cell>
          <cell r="GC5">
            <v>123.2</v>
          </cell>
          <cell r="GD5">
            <v>124.32</v>
          </cell>
          <cell r="GE5">
            <v>125.52</v>
          </cell>
          <cell r="GF5">
            <v>126.66</v>
          </cell>
          <cell r="GG5">
            <v>127.2</v>
          </cell>
          <cell r="GH5">
            <v>127.41</v>
          </cell>
          <cell r="GI5">
            <v>127.52</v>
          </cell>
          <cell r="GJ5">
            <v>128.59</v>
          </cell>
          <cell r="GK5">
            <v>129.69999999999999</v>
          </cell>
          <cell r="GL5">
            <v>130.77000000000001</v>
          </cell>
          <cell r="GM5">
            <v>131.04</v>
          </cell>
          <cell r="GN5">
            <v>131.19</v>
          </cell>
          <cell r="GO5">
            <v>131.35</v>
          </cell>
          <cell r="GP5">
            <v>131.49</v>
          </cell>
          <cell r="GQ5">
            <v>131.71</v>
          </cell>
          <cell r="GR5">
            <v>132.82</v>
          </cell>
          <cell r="GS5">
            <v>133.91</v>
          </cell>
          <cell r="GT5">
            <v>134.62</v>
          </cell>
          <cell r="GU5">
            <v>134.78</v>
          </cell>
          <cell r="GV5">
            <v>134.91999999999999</v>
          </cell>
          <cell r="GW5">
            <v>135.05000000000001</v>
          </cell>
          <cell r="GX5">
            <v>135.36000000000001</v>
          </cell>
          <cell r="GY5">
            <v>136.01</v>
          </cell>
          <cell r="GZ5">
            <v>136.62</v>
          </cell>
          <cell r="HA5">
            <v>137.24</v>
          </cell>
          <cell r="HB5">
            <v>137.6</v>
          </cell>
          <cell r="HC5">
            <v>137.76</v>
          </cell>
          <cell r="HD5">
            <v>137.9</v>
          </cell>
          <cell r="HE5">
            <v>138.25</v>
          </cell>
          <cell r="HF5">
            <v>139.4</v>
          </cell>
          <cell r="HG5">
            <v>140.16999999999999</v>
          </cell>
          <cell r="HH5">
            <v>140.33000000000001</v>
          </cell>
          <cell r="HI5">
            <v>140.47</v>
          </cell>
          <cell r="HJ5">
            <v>140.63</v>
          </cell>
          <cell r="HK5">
            <v>140.77000000000001</v>
          </cell>
          <cell r="HL5">
            <v>141.97</v>
          </cell>
          <cell r="HM5">
            <v>143.1</v>
          </cell>
          <cell r="HN5">
            <v>143.75</v>
          </cell>
          <cell r="HO5">
            <v>143.88999999999999</v>
          </cell>
          <cell r="HP5">
            <v>144.12</v>
          </cell>
          <cell r="HQ5">
            <v>144.26</v>
          </cell>
          <cell r="HR5">
            <v>144.41999999999999</v>
          </cell>
          <cell r="HS5">
            <v>144.74</v>
          </cell>
          <cell r="HT5">
            <v>145.61000000000001</v>
          </cell>
          <cell r="HU5">
            <v>146.59</v>
          </cell>
          <cell r="HV5">
            <v>147.54</v>
          </cell>
          <cell r="HW5">
            <v>147.99</v>
          </cell>
          <cell r="HX5">
            <v>148.12</v>
          </cell>
          <cell r="HY5">
            <v>148.25</v>
          </cell>
          <cell r="HZ5">
            <v>149.31</v>
          </cell>
          <cell r="IA5">
            <v>150.26</v>
          </cell>
          <cell r="IB5">
            <v>150.4</v>
          </cell>
          <cell r="IC5">
            <v>151.44</v>
          </cell>
          <cell r="ID5">
            <v>152.47999999999999</v>
          </cell>
          <cell r="IE5">
            <v>152.80000000000001</v>
          </cell>
          <cell r="IF5">
            <v>152.93</v>
          </cell>
          <cell r="IG5">
            <v>153.97999999999999</v>
          </cell>
          <cell r="IH5">
            <v>155.02000000000001</v>
          </cell>
          <cell r="II5">
            <v>156.11000000000001</v>
          </cell>
          <cell r="IJ5">
            <v>157.19</v>
          </cell>
          <cell r="IK5">
            <v>157.74</v>
          </cell>
          <cell r="IL5">
            <v>157.9</v>
          </cell>
          <cell r="IM5">
            <v>158.05000000000001</v>
          </cell>
          <cell r="IN5">
            <v>159.02000000000001</v>
          </cell>
          <cell r="IO5">
            <v>159.84</v>
          </cell>
          <cell r="IP5">
            <v>160.1</v>
          </cell>
          <cell r="IQ5">
            <v>160.85</v>
          </cell>
          <cell r="IR5">
            <v>161.94999999999999</v>
          </cell>
          <cell r="IS5">
            <v>162.41</v>
          </cell>
          <cell r="IT5">
            <v>162.54</v>
          </cell>
          <cell r="IU5">
            <v>163.63999999999999</v>
          </cell>
          <cell r="IV5">
            <v>164.33</v>
          </cell>
          <cell r="IW5">
            <v>165.39</v>
          </cell>
          <cell r="IX5">
            <v>166.49</v>
          </cell>
          <cell r="IY5">
            <v>166.63</v>
          </cell>
          <cell r="IZ5">
            <v>166.74</v>
          </cell>
          <cell r="JA5">
            <v>166.84</v>
          </cell>
          <cell r="JB5">
            <v>166.84</v>
          </cell>
          <cell r="JC5">
            <v>167.8</v>
          </cell>
          <cell r="JD5">
            <v>168.87</v>
          </cell>
          <cell r="JE5">
            <v>169.9</v>
          </cell>
          <cell r="JF5">
            <v>170.33</v>
          </cell>
          <cell r="JG5">
            <v>170.48</v>
          </cell>
          <cell r="JH5">
            <v>170.61</v>
          </cell>
          <cell r="JI5">
            <v>171.24</v>
          </cell>
          <cell r="JJ5">
            <v>171.71</v>
          </cell>
          <cell r="JK5">
            <v>171.86</v>
          </cell>
          <cell r="JL5">
            <v>172.01</v>
          </cell>
          <cell r="JM5">
            <v>172.13</v>
          </cell>
          <cell r="JN5">
            <v>172.25</v>
          </cell>
          <cell r="JO5">
            <v>172.35</v>
          </cell>
          <cell r="JP5">
            <v>172.51</v>
          </cell>
          <cell r="JQ5">
            <v>173.58</v>
          </cell>
          <cell r="JR5">
            <v>174.63</v>
          </cell>
          <cell r="JS5">
            <v>175.75</v>
          </cell>
          <cell r="JT5">
            <v>176.19</v>
          </cell>
          <cell r="JU5">
            <v>176.35</v>
          </cell>
          <cell r="JV5">
            <v>176.48</v>
          </cell>
          <cell r="JW5">
            <v>177.51</v>
          </cell>
          <cell r="JX5">
            <v>178.57</v>
          </cell>
          <cell r="JY5">
            <v>179.6</v>
          </cell>
          <cell r="JZ5">
            <v>180.41</v>
          </cell>
          <cell r="KA5">
            <v>180.98</v>
          </cell>
          <cell r="KB5">
            <v>181.13</v>
          </cell>
          <cell r="KC5">
            <v>181.24</v>
          </cell>
          <cell r="KD5">
            <v>181.47</v>
          </cell>
          <cell r="KE5">
            <v>182.55</v>
          </cell>
          <cell r="KF5">
            <v>183.65</v>
          </cell>
          <cell r="KG5">
            <v>184.5</v>
          </cell>
          <cell r="KH5">
            <v>184.75</v>
          </cell>
          <cell r="KI5">
            <v>185.04</v>
          </cell>
          <cell r="KJ5">
            <v>185.17</v>
          </cell>
          <cell r="KK5">
            <v>185.33</v>
          </cell>
          <cell r="KL5">
            <v>185.48</v>
          </cell>
          <cell r="KM5">
            <v>185.62</v>
          </cell>
          <cell r="KN5">
            <v>185.77</v>
          </cell>
          <cell r="KO5">
            <v>185.93</v>
          </cell>
          <cell r="KP5">
            <v>186.03</v>
          </cell>
          <cell r="KQ5">
            <v>186.1</v>
          </cell>
          <cell r="KR5">
            <v>186.61</v>
          </cell>
          <cell r="KS5">
            <v>187.13</v>
          </cell>
          <cell r="KT5">
            <v>187.66</v>
          </cell>
          <cell r="KU5">
            <v>188.3</v>
          </cell>
          <cell r="KV5">
            <v>188.46</v>
          </cell>
          <cell r="KW5">
            <v>188.63</v>
          </cell>
          <cell r="KX5">
            <v>188.75</v>
          </cell>
          <cell r="KY5">
            <v>188.93</v>
          </cell>
          <cell r="KZ5">
            <v>189.26</v>
          </cell>
          <cell r="LA5">
            <v>189.86</v>
          </cell>
          <cell r="LB5">
            <v>190.57</v>
          </cell>
          <cell r="LC5">
            <v>190.7</v>
          </cell>
          <cell r="LD5">
            <v>190.82</v>
          </cell>
          <cell r="LE5">
            <v>190.95</v>
          </cell>
          <cell r="LF5">
            <v>191.51</v>
          </cell>
          <cell r="LG5">
            <v>192.16</v>
          </cell>
          <cell r="LH5">
            <v>192.84</v>
          </cell>
          <cell r="LI5">
            <v>193.3</v>
          </cell>
          <cell r="LJ5">
            <v>193.45</v>
          </cell>
          <cell r="LK5">
            <v>193.6</v>
          </cell>
          <cell r="LL5">
            <v>193.71</v>
          </cell>
          <cell r="LM5">
            <v>193.88</v>
          </cell>
          <cell r="LN5">
            <v>194.5</v>
          </cell>
          <cell r="LO5">
            <v>195.15</v>
          </cell>
          <cell r="LP5">
            <v>195.78</v>
          </cell>
          <cell r="LQ5">
            <v>196.41</v>
          </cell>
          <cell r="LR5">
            <v>196.57</v>
          </cell>
          <cell r="LS5">
            <v>196.72</v>
          </cell>
          <cell r="LT5">
            <v>197.4</v>
          </cell>
          <cell r="LU5">
            <v>198.06</v>
          </cell>
          <cell r="LV5">
            <v>198.7</v>
          </cell>
          <cell r="LW5">
            <v>199.41</v>
          </cell>
          <cell r="LX5">
            <v>199.85999999999999</v>
          </cell>
          <cell r="LY5">
            <v>200.13</v>
          </cell>
          <cell r="LZ5">
            <v>200.26</v>
          </cell>
          <cell r="MA5">
            <v>200.86</v>
          </cell>
          <cell r="MB5">
            <v>0</v>
          </cell>
          <cell r="MC5">
            <v>0</v>
          </cell>
          <cell r="MD5">
            <v>0</v>
          </cell>
          <cell r="ME5">
            <v>0</v>
          </cell>
          <cell r="MF5">
            <v>0</v>
          </cell>
          <cell r="MG5">
            <v>0</v>
          </cell>
          <cell r="MH5">
            <v>0</v>
          </cell>
        </row>
        <row r="6">
          <cell r="A6" t="str">
            <v>sd 27</v>
          </cell>
          <cell r="B6">
            <v>21.91</v>
          </cell>
          <cell r="C6">
            <v>21.97</v>
          </cell>
          <cell r="D6">
            <v>22.11</v>
          </cell>
          <cell r="E6">
            <v>22.22</v>
          </cell>
          <cell r="F6">
            <v>22.32</v>
          </cell>
          <cell r="G6">
            <v>22.43</v>
          </cell>
          <cell r="H6">
            <v>22.53</v>
          </cell>
          <cell r="I6">
            <v>22.63</v>
          </cell>
          <cell r="J6">
            <v>23.19</v>
          </cell>
          <cell r="K6">
            <v>23.87</v>
          </cell>
          <cell r="L6">
            <v>24.47</v>
          </cell>
          <cell r="M6">
            <v>24.92</v>
          </cell>
          <cell r="N6">
            <v>25.07</v>
          </cell>
          <cell r="O6">
            <v>25.17</v>
          </cell>
          <cell r="P6">
            <v>25.27</v>
          </cell>
          <cell r="Q6">
            <v>25.4</v>
          </cell>
          <cell r="R6">
            <v>26.01</v>
          </cell>
          <cell r="S6">
            <v>26.65</v>
          </cell>
          <cell r="T6">
            <v>27.24</v>
          </cell>
          <cell r="U6">
            <v>27.69</v>
          </cell>
          <cell r="V6">
            <v>27.82</v>
          </cell>
          <cell r="W6">
            <v>27.94</v>
          </cell>
          <cell r="X6">
            <v>28.06</v>
          </cell>
          <cell r="Y6">
            <v>28.18</v>
          </cell>
          <cell r="Z6">
            <v>28.34</v>
          </cell>
          <cell r="AA6">
            <v>28.61</v>
          </cell>
          <cell r="AB6">
            <v>29.15</v>
          </cell>
          <cell r="AC6">
            <v>29.3</v>
          </cell>
          <cell r="AD6">
            <v>29.35</v>
          </cell>
          <cell r="AE6">
            <v>29.97</v>
          </cell>
          <cell r="AF6">
            <v>30.61</v>
          </cell>
          <cell r="AG6">
            <v>31.2</v>
          </cell>
          <cell r="AH6">
            <v>31.68</v>
          </cell>
          <cell r="AI6">
            <v>31.79</v>
          </cell>
          <cell r="AJ6">
            <v>31.91</v>
          </cell>
          <cell r="AK6">
            <v>32.01</v>
          </cell>
          <cell r="AL6">
            <v>32.130000000000003</v>
          </cell>
          <cell r="AM6">
            <v>32.75</v>
          </cell>
          <cell r="AN6">
            <v>33.36</v>
          </cell>
          <cell r="AO6">
            <v>33.86</v>
          </cell>
          <cell r="AP6">
            <v>33.979999999999997</v>
          </cell>
          <cell r="AQ6">
            <v>34.08</v>
          </cell>
          <cell r="AR6">
            <v>34.200000000000003</v>
          </cell>
          <cell r="AS6">
            <v>34.799999999999997</v>
          </cell>
          <cell r="AT6">
            <v>35.44</v>
          </cell>
          <cell r="AU6">
            <v>36.090000000000003</v>
          </cell>
          <cell r="AV6">
            <v>36.43</v>
          </cell>
          <cell r="AW6">
            <v>36.54</v>
          </cell>
          <cell r="AX6">
            <v>36.67</v>
          </cell>
          <cell r="AY6">
            <v>36.770000000000003</v>
          </cell>
          <cell r="AZ6">
            <v>36.869999999999997</v>
          </cell>
          <cell r="BA6">
            <v>36.950000000000003</v>
          </cell>
          <cell r="BB6">
            <v>37.020000000000003</v>
          </cell>
          <cell r="BC6">
            <v>37.11</v>
          </cell>
          <cell r="BD6">
            <v>37.369999999999997</v>
          </cell>
          <cell r="BE6">
            <v>37.47</v>
          </cell>
          <cell r="BF6">
            <v>37.6</v>
          </cell>
          <cell r="BG6">
            <v>37.72</v>
          </cell>
          <cell r="BH6">
            <v>38.119999999999997</v>
          </cell>
          <cell r="BI6">
            <v>38.29</v>
          </cell>
          <cell r="BJ6">
            <v>38.409999999999997</v>
          </cell>
          <cell r="BK6">
            <v>38.53</v>
          </cell>
          <cell r="BL6">
            <v>38.64</v>
          </cell>
          <cell r="BM6">
            <v>38.75</v>
          </cell>
          <cell r="BN6">
            <v>38.86</v>
          </cell>
          <cell r="BO6">
            <v>38.950000000000003</v>
          </cell>
          <cell r="BP6">
            <v>39.31</v>
          </cell>
          <cell r="BQ6">
            <v>39.43</v>
          </cell>
          <cell r="BR6">
            <v>39.54</v>
          </cell>
          <cell r="BS6">
            <v>39.65</v>
          </cell>
          <cell r="BT6">
            <v>39.76</v>
          </cell>
          <cell r="BU6">
            <v>39.86</v>
          </cell>
          <cell r="BV6">
            <v>39.950000000000003</v>
          </cell>
          <cell r="BW6">
            <v>40.06</v>
          </cell>
          <cell r="BX6">
            <v>40.229999999999997</v>
          </cell>
          <cell r="BY6">
            <v>40.380000000000003</v>
          </cell>
          <cell r="BZ6">
            <v>40.51</v>
          </cell>
          <cell r="CA6">
            <v>40.619999999999997</v>
          </cell>
          <cell r="CB6">
            <v>40.76</v>
          </cell>
          <cell r="CC6">
            <v>41.52</v>
          </cell>
          <cell r="CD6">
            <v>42.15</v>
          </cell>
          <cell r="CE6">
            <v>42.26</v>
          </cell>
          <cell r="CF6">
            <v>42.38</v>
          </cell>
          <cell r="CG6">
            <v>42.49</v>
          </cell>
          <cell r="CH6">
            <v>42.61</v>
          </cell>
          <cell r="CI6">
            <v>43.55</v>
          </cell>
          <cell r="CJ6">
            <v>44.57</v>
          </cell>
          <cell r="CK6">
            <v>45.51</v>
          </cell>
          <cell r="CL6">
            <v>45.83</v>
          </cell>
          <cell r="CM6">
            <v>45.97</v>
          </cell>
          <cell r="CN6">
            <v>46.08</v>
          </cell>
          <cell r="CO6">
            <v>46.21</v>
          </cell>
          <cell r="CP6">
            <v>46.87</v>
          </cell>
          <cell r="CQ6">
            <v>47.31</v>
          </cell>
          <cell r="CR6">
            <v>47.44</v>
          </cell>
          <cell r="CS6">
            <v>47.64</v>
          </cell>
          <cell r="CT6">
            <v>47.79</v>
          </cell>
          <cell r="CU6">
            <v>47.92</v>
          </cell>
          <cell r="CV6">
            <v>48.05</v>
          </cell>
          <cell r="CW6">
            <v>48.37</v>
          </cell>
          <cell r="CX6">
            <v>48.98</v>
          </cell>
          <cell r="CY6">
            <v>79.599999999999994</v>
          </cell>
          <cell r="CZ6">
            <v>50.11</v>
          </cell>
          <cell r="DA6">
            <v>50.37</v>
          </cell>
          <cell r="DB6">
            <v>50.52</v>
          </cell>
          <cell r="DC6">
            <v>50.63</v>
          </cell>
          <cell r="DD6">
            <v>50.75</v>
          </cell>
          <cell r="DE6">
            <v>50.89</v>
          </cell>
          <cell r="DF6">
            <v>51</v>
          </cell>
          <cell r="DG6">
            <v>51.14</v>
          </cell>
          <cell r="DH6">
            <v>51.25</v>
          </cell>
          <cell r="DI6">
            <v>51.35</v>
          </cell>
          <cell r="DJ6">
            <v>51.35</v>
          </cell>
          <cell r="DK6">
            <v>51.69</v>
          </cell>
          <cell r="DL6">
            <v>52.25</v>
          </cell>
          <cell r="DM6">
            <v>52.81</v>
          </cell>
          <cell r="DN6">
            <v>53.38</v>
          </cell>
          <cell r="DO6">
            <v>53.63</v>
          </cell>
          <cell r="DP6">
            <v>53.77</v>
          </cell>
          <cell r="DQ6">
            <v>53.89</v>
          </cell>
          <cell r="DR6">
            <v>54.51</v>
          </cell>
          <cell r="DS6">
            <v>55.03</v>
          </cell>
          <cell r="DT6">
            <v>55.14</v>
          </cell>
          <cell r="DU6">
            <v>55.25</v>
          </cell>
          <cell r="DV6">
            <v>55.37</v>
          </cell>
          <cell r="DW6">
            <v>55.48</v>
          </cell>
          <cell r="DX6">
            <v>55.58</v>
          </cell>
          <cell r="DY6">
            <v>55.75</v>
          </cell>
          <cell r="DZ6">
            <v>56.43</v>
          </cell>
          <cell r="EA6">
            <v>57.11</v>
          </cell>
          <cell r="EB6">
            <v>57.47</v>
          </cell>
          <cell r="EC6">
            <v>57.59</v>
          </cell>
          <cell r="ED6">
            <v>57.7</v>
          </cell>
          <cell r="EE6">
            <v>56.43</v>
          </cell>
          <cell r="EF6">
            <v>56.750399999999999</v>
          </cell>
          <cell r="EG6">
            <v>57.79</v>
          </cell>
          <cell r="EH6">
            <v>56.26</v>
          </cell>
          <cell r="EI6">
            <v>5.83</v>
          </cell>
          <cell r="EJ6">
            <v>59.97</v>
          </cell>
          <cell r="EK6">
            <v>60.1</v>
          </cell>
          <cell r="EL6">
            <v>60.17</v>
          </cell>
          <cell r="EM6">
            <v>60.41</v>
          </cell>
          <cell r="EN6">
            <v>61.04</v>
          </cell>
          <cell r="EO6">
            <v>61.67</v>
          </cell>
          <cell r="EP6">
            <v>62.24</v>
          </cell>
          <cell r="EQ6">
            <v>62.82</v>
          </cell>
          <cell r="ER6">
            <v>62.98</v>
          </cell>
          <cell r="ES6">
            <v>63.08</v>
          </cell>
          <cell r="ET6">
            <v>63.76</v>
          </cell>
          <cell r="EU6">
            <v>64.31</v>
          </cell>
          <cell r="EV6">
            <v>64.81</v>
          </cell>
          <cell r="EW6">
            <v>65.05</v>
          </cell>
          <cell r="EX6">
            <v>65.2</v>
          </cell>
          <cell r="EY6">
            <v>65.33</v>
          </cell>
          <cell r="EZ6">
            <v>65.48</v>
          </cell>
          <cell r="FA6">
            <v>66.02</v>
          </cell>
          <cell r="FB6">
            <v>66.64</v>
          </cell>
          <cell r="FC6">
            <v>66.81</v>
          </cell>
          <cell r="FD6">
            <v>67.08</v>
          </cell>
          <cell r="FE6">
            <v>67.33</v>
          </cell>
          <cell r="FF6">
            <v>67.5</v>
          </cell>
          <cell r="FG6">
            <v>67.63</v>
          </cell>
          <cell r="FH6">
            <v>68.239999999999995</v>
          </cell>
          <cell r="FI6">
            <v>68.86</v>
          </cell>
          <cell r="FJ6">
            <v>69.489999999999995</v>
          </cell>
          <cell r="FK6">
            <v>70.02</v>
          </cell>
          <cell r="FL6">
            <v>70.23</v>
          </cell>
          <cell r="FM6">
            <v>70.25</v>
          </cell>
          <cell r="FN6">
            <v>70.319999999999993</v>
          </cell>
          <cell r="FO6">
            <v>70.56</v>
          </cell>
          <cell r="FP6">
            <v>71.17</v>
          </cell>
          <cell r="FQ6">
            <v>71.790000000000006</v>
          </cell>
          <cell r="FR6">
            <v>72.37</v>
          </cell>
          <cell r="FS6">
            <v>72.64</v>
          </cell>
          <cell r="FT6">
            <v>72.760000000000005</v>
          </cell>
          <cell r="FU6">
            <v>72.88</v>
          </cell>
          <cell r="FV6">
            <v>73.260000000000005</v>
          </cell>
          <cell r="FW6">
            <v>73.86</v>
          </cell>
          <cell r="FX6">
            <v>74.489999999999995</v>
          </cell>
          <cell r="FY6">
            <v>75.13</v>
          </cell>
          <cell r="FZ6">
            <v>75.88</v>
          </cell>
          <cell r="GA6">
            <v>76.239999999999995</v>
          </cell>
          <cell r="GB6">
            <v>76.599999999999994</v>
          </cell>
          <cell r="GC6">
            <v>77.25</v>
          </cell>
          <cell r="GD6">
            <v>77.849999999999994</v>
          </cell>
          <cell r="GE6">
            <v>78.47</v>
          </cell>
          <cell r="GF6">
            <v>78.819999999999993</v>
          </cell>
          <cell r="GG6">
            <v>78.930000000000007</v>
          </cell>
          <cell r="GH6">
            <v>79.12</v>
          </cell>
          <cell r="GI6">
            <v>79.23</v>
          </cell>
          <cell r="GJ6">
            <v>79.86</v>
          </cell>
          <cell r="GK6">
            <v>80.47</v>
          </cell>
          <cell r="GL6">
            <v>80.98</v>
          </cell>
          <cell r="GM6">
            <v>81.45</v>
          </cell>
          <cell r="GN6">
            <v>81.59</v>
          </cell>
          <cell r="GO6">
            <v>81.680000000000007</v>
          </cell>
          <cell r="GP6">
            <v>81.77</v>
          </cell>
          <cell r="GQ6">
            <v>81.96</v>
          </cell>
          <cell r="GR6">
            <v>82.61</v>
          </cell>
          <cell r="GS6">
            <v>83.27</v>
          </cell>
          <cell r="GT6">
            <v>83.84</v>
          </cell>
          <cell r="GU6">
            <v>84.28</v>
          </cell>
          <cell r="GV6">
            <v>84.39</v>
          </cell>
          <cell r="GW6">
            <v>84.49</v>
          </cell>
          <cell r="GX6">
            <v>84.96</v>
          </cell>
          <cell r="GY6">
            <v>85.58</v>
          </cell>
          <cell r="GZ6">
            <v>86.21</v>
          </cell>
          <cell r="HA6">
            <v>86.62</v>
          </cell>
          <cell r="HB6">
            <v>86.88</v>
          </cell>
          <cell r="HC6">
            <v>87.01</v>
          </cell>
          <cell r="HD6">
            <v>87.11</v>
          </cell>
          <cell r="HE6">
            <v>87.39</v>
          </cell>
          <cell r="HF6">
            <v>87.95</v>
          </cell>
          <cell r="HG6">
            <v>88.53</v>
          </cell>
          <cell r="HH6">
            <v>88.82</v>
          </cell>
          <cell r="HI6">
            <v>88.96</v>
          </cell>
          <cell r="HJ6">
            <v>89.11</v>
          </cell>
          <cell r="HK6">
            <v>89.22</v>
          </cell>
          <cell r="HL6">
            <v>89.34</v>
          </cell>
          <cell r="HM6">
            <v>89.46</v>
          </cell>
          <cell r="HN6">
            <v>89.57</v>
          </cell>
          <cell r="HO6">
            <v>89.68</v>
          </cell>
          <cell r="HP6">
            <v>89.8</v>
          </cell>
          <cell r="HQ6">
            <v>89.9</v>
          </cell>
          <cell r="HR6">
            <v>90.01</v>
          </cell>
          <cell r="HS6">
            <v>90.37</v>
          </cell>
          <cell r="HT6">
            <v>91</v>
          </cell>
          <cell r="HU6">
            <v>91.52</v>
          </cell>
          <cell r="HV6">
            <v>91.92</v>
          </cell>
          <cell r="HW6">
            <v>92.04</v>
          </cell>
          <cell r="HX6">
            <v>92.17</v>
          </cell>
          <cell r="HY6">
            <v>92.28</v>
          </cell>
          <cell r="HZ6">
            <v>92.87</v>
          </cell>
          <cell r="IA6">
            <v>93.5</v>
          </cell>
          <cell r="IB6">
            <v>93.55</v>
          </cell>
          <cell r="IC6">
            <v>94.07</v>
          </cell>
          <cell r="ID6">
            <v>94.69</v>
          </cell>
          <cell r="IE6">
            <v>94.88</v>
          </cell>
          <cell r="IF6">
            <v>94.99</v>
          </cell>
          <cell r="IG6">
            <v>95.53</v>
          </cell>
          <cell r="IH6">
            <v>96.1</v>
          </cell>
          <cell r="II6">
            <v>96.71</v>
          </cell>
          <cell r="IJ6">
            <v>97.39</v>
          </cell>
          <cell r="IK6">
            <v>98.08</v>
          </cell>
          <cell r="IL6">
            <v>98.22</v>
          </cell>
          <cell r="IM6">
            <v>98.35</v>
          </cell>
          <cell r="IN6">
            <v>98.88</v>
          </cell>
          <cell r="IO6">
            <v>99.42</v>
          </cell>
          <cell r="IP6">
            <v>99.84</v>
          </cell>
          <cell r="IQ6">
            <v>100.23</v>
          </cell>
          <cell r="IR6">
            <v>100.77</v>
          </cell>
          <cell r="IS6">
            <v>100.9</v>
          </cell>
          <cell r="IT6">
            <v>101</v>
          </cell>
          <cell r="IU6">
            <v>101.27</v>
          </cell>
          <cell r="IV6">
            <v>101.5</v>
          </cell>
          <cell r="IW6">
            <v>102.09</v>
          </cell>
          <cell r="IX6">
            <v>102.7</v>
          </cell>
          <cell r="IY6">
            <v>103.23</v>
          </cell>
          <cell r="IZ6">
            <v>103.35</v>
          </cell>
          <cell r="JA6">
            <v>103.47</v>
          </cell>
          <cell r="JB6">
            <v>103.47</v>
          </cell>
          <cell r="JC6">
            <v>104.21</v>
          </cell>
          <cell r="JD6">
            <v>104.97</v>
          </cell>
          <cell r="JE6">
            <v>105.68</v>
          </cell>
          <cell r="JF6">
            <v>105.91</v>
          </cell>
          <cell r="JG6">
            <v>106.05</v>
          </cell>
          <cell r="JH6">
            <v>106.15</v>
          </cell>
          <cell r="JI6">
            <v>106.27</v>
          </cell>
          <cell r="JJ6">
            <v>106.57</v>
          </cell>
          <cell r="JK6">
            <v>107.12</v>
          </cell>
          <cell r="JL6">
            <v>107.77</v>
          </cell>
          <cell r="JM6">
            <v>108.14</v>
          </cell>
          <cell r="JN6">
            <v>108.25</v>
          </cell>
          <cell r="JO6">
            <v>108.37</v>
          </cell>
          <cell r="JP6">
            <v>108.53</v>
          </cell>
          <cell r="JQ6">
            <v>109.1</v>
          </cell>
          <cell r="JR6">
            <v>109.73</v>
          </cell>
          <cell r="JS6">
            <v>110.36</v>
          </cell>
          <cell r="JT6">
            <v>110.62</v>
          </cell>
          <cell r="JU6">
            <v>110.73</v>
          </cell>
          <cell r="JV6">
            <v>110.84</v>
          </cell>
          <cell r="JW6">
            <v>111.45</v>
          </cell>
          <cell r="JX6">
            <v>112.08</v>
          </cell>
          <cell r="JY6">
            <v>112.56</v>
          </cell>
          <cell r="JZ6">
            <v>112.71</v>
          </cell>
          <cell r="KA6">
            <v>112.83</v>
          </cell>
          <cell r="KB6">
            <v>112.96</v>
          </cell>
          <cell r="KC6">
            <v>113.06</v>
          </cell>
          <cell r="KD6">
            <v>113.31</v>
          </cell>
          <cell r="KE6">
            <v>113.94</v>
          </cell>
          <cell r="KF6">
            <v>114.56</v>
          </cell>
          <cell r="KG6">
            <v>115.1</v>
          </cell>
          <cell r="KH6">
            <v>115.4</v>
          </cell>
          <cell r="KI6">
            <v>115.7</v>
          </cell>
          <cell r="KJ6">
            <v>115.83</v>
          </cell>
          <cell r="KK6">
            <v>116.04</v>
          </cell>
          <cell r="KL6">
            <v>116.17</v>
          </cell>
          <cell r="KM6">
            <v>116.29</v>
          </cell>
          <cell r="KN6">
            <v>116.45</v>
          </cell>
          <cell r="KO6">
            <v>116.56</v>
          </cell>
          <cell r="KP6">
            <v>116.64</v>
          </cell>
          <cell r="KQ6">
            <v>116.7</v>
          </cell>
          <cell r="KR6">
            <v>116.99</v>
          </cell>
          <cell r="KS6">
            <v>117.15</v>
          </cell>
          <cell r="KT6">
            <v>117.3</v>
          </cell>
          <cell r="KU6">
            <v>117.62</v>
          </cell>
          <cell r="KV6">
            <v>117.93</v>
          </cell>
          <cell r="KW6">
            <v>118.09</v>
          </cell>
          <cell r="KX6">
            <v>118.2</v>
          </cell>
          <cell r="KY6">
            <v>118.42</v>
          </cell>
          <cell r="KZ6">
            <v>118.56</v>
          </cell>
          <cell r="LA6">
            <v>118.7</v>
          </cell>
          <cell r="LB6">
            <v>118.84</v>
          </cell>
          <cell r="LC6">
            <v>118.98</v>
          </cell>
          <cell r="LD6">
            <v>119.11</v>
          </cell>
          <cell r="LE6">
            <v>119.25</v>
          </cell>
          <cell r="LF6">
            <v>119.56</v>
          </cell>
          <cell r="LG6">
            <v>120.09</v>
          </cell>
          <cell r="LH6">
            <v>120.64</v>
          </cell>
          <cell r="LI6">
            <v>121.33</v>
          </cell>
          <cell r="LJ6">
            <v>121.89</v>
          </cell>
          <cell r="LK6">
            <v>122.03</v>
          </cell>
          <cell r="LL6">
            <v>122.13</v>
          </cell>
          <cell r="LM6">
            <v>122.27</v>
          </cell>
          <cell r="LN6">
            <v>122.84</v>
          </cell>
          <cell r="LO6">
            <v>123.41</v>
          </cell>
          <cell r="LP6">
            <v>124.02</v>
          </cell>
          <cell r="LQ6">
            <v>124.67</v>
          </cell>
          <cell r="LR6">
            <v>124.79</v>
          </cell>
          <cell r="LS6">
            <v>124.9</v>
          </cell>
          <cell r="LT6">
            <v>125.33</v>
          </cell>
          <cell r="LU6">
            <v>125.69</v>
          </cell>
          <cell r="LV6">
            <v>126.34</v>
          </cell>
          <cell r="LW6">
            <v>126.88</v>
          </cell>
          <cell r="LX6">
            <v>127.11999999999999</v>
          </cell>
          <cell r="LY6">
            <v>127.18999999999998</v>
          </cell>
          <cell r="LZ6">
            <v>127.29</v>
          </cell>
          <cell r="MA6">
            <v>127.43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</row>
        <row r="7">
          <cell r="A7" t="str">
            <v>sd 29</v>
          </cell>
          <cell r="B7">
            <v>56.5</v>
          </cell>
          <cell r="C7">
            <v>56.62</v>
          </cell>
          <cell r="D7">
            <v>56.83</v>
          </cell>
          <cell r="E7">
            <v>57.85</v>
          </cell>
          <cell r="F7">
            <v>59.08</v>
          </cell>
          <cell r="G7">
            <v>59.78</v>
          </cell>
          <cell r="H7">
            <v>60.15</v>
          </cell>
          <cell r="I7">
            <v>60.38</v>
          </cell>
          <cell r="J7">
            <v>61.6</v>
          </cell>
          <cell r="K7">
            <v>63.01</v>
          </cell>
          <cell r="L7">
            <v>64.3</v>
          </cell>
          <cell r="M7">
            <v>65.53</v>
          </cell>
          <cell r="N7">
            <v>66.97</v>
          </cell>
          <cell r="O7">
            <v>67.36</v>
          </cell>
          <cell r="P7">
            <v>67.52</v>
          </cell>
          <cell r="Q7">
            <v>68.37</v>
          </cell>
          <cell r="R7">
            <v>69.52</v>
          </cell>
          <cell r="S7">
            <v>70.17</v>
          </cell>
          <cell r="T7">
            <v>71.92</v>
          </cell>
          <cell r="U7">
            <v>73.16</v>
          </cell>
          <cell r="V7">
            <v>73.78</v>
          </cell>
          <cell r="W7">
            <v>74.010000000000005</v>
          </cell>
          <cell r="X7">
            <v>74.84</v>
          </cell>
          <cell r="Y7">
            <v>75.08</v>
          </cell>
          <cell r="Z7">
            <v>75.349999999999994</v>
          </cell>
          <cell r="AA7">
            <v>75.569999999999993</v>
          </cell>
          <cell r="AB7">
            <v>75.790000000000006</v>
          </cell>
          <cell r="AC7">
            <v>75.98</v>
          </cell>
          <cell r="AD7">
            <v>76.180000000000007</v>
          </cell>
          <cell r="AE7">
            <v>76.47</v>
          </cell>
          <cell r="AF7">
            <v>76.930000000000007</v>
          </cell>
          <cell r="AG7">
            <v>77.31</v>
          </cell>
          <cell r="AH7">
            <v>77.92</v>
          </cell>
          <cell r="AI7">
            <v>78.19</v>
          </cell>
          <cell r="AJ7">
            <v>78.39</v>
          </cell>
          <cell r="AK7">
            <v>78.56</v>
          </cell>
          <cell r="AL7">
            <v>78.739999999999995</v>
          </cell>
          <cell r="AM7">
            <v>80.03</v>
          </cell>
          <cell r="AN7">
            <v>81.239999999999995</v>
          </cell>
          <cell r="AO7">
            <v>82.43</v>
          </cell>
          <cell r="AP7">
            <v>83.52</v>
          </cell>
          <cell r="AQ7">
            <v>84.09</v>
          </cell>
          <cell r="AR7">
            <v>84.26</v>
          </cell>
          <cell r="AS7">
            <v>85.58</v>
          </cell>
          <cell r="AT7">
            <v>86.93</v>
          </cell>
          <cell r="AU7">
            <v>88.18</v>
          </cell>
          <cell r="AV7">
            <v>89.37</v>
          </cell>
          <cell r="AW7">
            <v>89.79</v>
          </cell>
          <cell r="AX7">
            <v>90.09</v>
          </cell>
          <cell r="AY7">
            <v>90.33</v>
          </cell>
          <cell r="AZ7">
            <v>91.51</v>
          </cell>
          <cell r="BA7">
            <v>92.62</v>
          </cell>
          <cell r="BB7">
            <v>93.98</v>
          </cell>
          <cell r="BC7">
            <v>94.88</v>
          </cell>
          <cell r="BD7">
            <v>95.63</v>
          </cell>
          <cell r="BE7">
            <v>95.92</v>
          </cell>
          <cell r="BF7">
            <v>96.16</v>
          </cell>
          <cell r="BG7">
            <v>97.35</v>
          </cell>
          <cell r="BH7">
            <v>98.73</v>
          </cell>
          <cell r="BI7">
            <v>99.92</v>
          </cell>
          <cell r="BJ7">
            <v>101.27</v>
          </cell>
          <cell r="BK7">
            <v>101.94</v>
          </cell>
          <cell r="BL7">
            <v>102.18</v>
          </cell>
          <cell r="BM7">
            <v>102.42</v>
          </cell>
          <cell r="BN7">
            <v>102.96</v>
          </cell>
          <cell r="BO7">
            <v>104.03</v>
          </cell>
          <cell r="BP7">
            <v>105.08</v>
          </cell>
          <cell r="BQ7">
            <v>106.35</v>
          </cell>
          <cell r="BR7">
            <v>107.44</v>
          </cell>
          <cell r="BS7">
            <v>107.68</v>
          </cell>
          <cell r="BT7">
            <v>107.89</v>
          </cell>
          <cell r="BU7">
            <v>109.29</v>
          </cell>
          <cell r="BV7">
            <v>110.65</v>
          </cell>
          <cell r="BW7">
            <v>111.78</v>
          </cell>
          <cell r="BX7">
            <v>112.04</v>
          </cell>
          <cell r="BY7">
            <v>112.28</v>
          </cell>
          <cell r="BZ7">
            <v>112.5</v>
          </cell>
          <cell r="CA7">
            <v>112.69</v>
          </cell>
          <cell r="CB7">
            <v>112.87</v>
          </cell>
          <cell r="CC7">
            <v>114.24</v>
          </cell>
          <cell r="CD7">
            <v>115.61</v>
          </cell>
          <cell r="CE7">
            <v>117.03</v>
          </cell>
          <cell r="CF7">
            <v>118.19</v>
          </cell>
          <cell r="CG7">
            <v>118.41</v>
          </cell>
          <cell r="CH7">
            <v>118.61</v>
          </cell>
          <cell r="CI7">
            <v>119.11</v>
          </cell>
          <cell r="CJ7">
            <v>120.23</v>
          </cell>
          <cell r="CK7">
            <v>121.48</v>
          </cell>
          <cell r="CL7">
            <v>122.8</v>
          </cell>
          <cell r="CM7">
            <v>124.14</v>
          </cell>
          <cell r="CN7">
            <v>125.01</v>
          </cell>
          <cell r="CO7">
            <v>125.26</v>
          </cell>
          <cell r="CP7">
            <v>125.71</v>
          </cell>
          <cell r="CQ7">
            <v>126.92</v>
          </cell>
          <cell r="CR7">
            <v>128.13999999999999</v>
          </cell>
          <cell r="CS7">
            <v>129.38</v>
          </cell>
          <cell r="CT7">
            <v>130.85</v>
          </cell>
          <cell r="CU7">
            <v>131.86000000000001</v>
          </cell>
          <cell r="CV7">
            <v>132.12</v>
          </cell>
          <cell r="CW7">
            <v>132.5</v>
          </cell>
          <cell r="CX7">
            <v>132.57</v>
          </cell>
          <cell r="CY7">
            <v>132.78</v>
          </cell>
          <cell r="CZ7" t="str">
            <v>132.*96</v>
          </cell>
          <cell r="DA7">
            <v>133.16999999999999</v>
          </cell>
          <cell r="DB7">
            <v>133.36000000000001</v>
          </cell>
          <cell r="DC7">
            <v>133.52000000000001</v>
          </cell>
          <cell r="DD7">
            <v>133.80000000000001</v>
          </cell>
          <cell r="DE7">
            <v>134.19</v>
          </cell>
          <cell r="DF7">
            <v>134.46</v>
          </cell>
          <cell r="DG7">
            <v>134.71</v>
          </cell>
          <cell r="DH7">
            <v>134.9</v>
          </cell>
          <cell r="DI7">
            <v>135.09</v>
          </cell>
          <cell r="DJ7">
            <v>135.09</v>
          </cell>
          <cell r="DK7">
            <v>135.30000000000001</v>
          </cell>
          <cell r="DL7">
            <v>136.07</v>
          </cell>
          <cell r="DM7">
            <v>137.02000000000001</v>
          </cell>
          <cell r="DN7">
            <v>138.11000000000001</v>
          </cell>
          <cell r="DO7">
            <v>139.08000000000001</v>
          </cell>
          <cell r="DP7">
            <v>139.37</v>
          </cell>
          <cell r="DQ7">
            <v>139.59</v>
          </cell>
          <cell r="DR7">
            <v>140.62</v>
          </cell>
          <cell r="DS7">
            <v>141.66999999999999</v>
          </cell>
          <cell r="DT7">
            <v>141.91</v>
          </cell>
          <cell r="DU7">
            <v>143.11000000000001</v>
          </cell>
          <cell r="DV7">
            <v>143.80000000000001</v>
          </cell>
          <cell r="DW7">
            <v>144</v>
          </cell>
          <cell r="DX7">
            <v>144.16</v>
          </cell>
          <cell r="DY7">
            <v>144.36000000000001</v>
          </cell>
          <cell r="DZ7">
            <v>145.5</v>
          </cell>
          <cell r="EA7">
            <v>146.6</v>
          </cell>
          <cell r="EB7">
            <v>147.71</v>
          </cell>
          <cell r="EC7">
            <v>149.02000000000001</v>
          </cell>
          <cell r="ED7">
            <v>150.28</v>
          </cell>
          <cell r="EE7">
            <v>145.46</v>
          </cell>
          <cell r="EF7">
            <v>146.44790000000003</v>
          </cell>
          <cell r="EG7">
            <v>150.6</v>
          </cell>
          <cell r="EH7">
            <v>145.29999999999998</v>
          </cell>
          <cell r="EI7">
            <v>154.51</v>
          </cell>
          <cell r="EJ7">
            <v>155.85</v>
          </cell>
          <cell r="EK7">
            <v>156.26</v>
          </cell>
          <cell r="EL7">
            <v>156.41</v>
          </cell>
          <cell r="EM7">
            <v>156.94999999999999</v>
          </cell>
          <cell r="EN7">
            <v>158.09</v>
          </cell>
          <cell r="EO7">
            <v>159.41999999999999</v>
          </cell>
          <cell r="EP7">
            <v>160.69</v>
          </cell>
          <cell r="EQ7">
            <v>162.05000000000001</v>
          </cell>
          <cell r="ER7">
            <v>162.97999999999999</v>
          </cell>
          <cell r="ES7">
            <v>163.21</v>
          </cell>
          <cell r="ET7">
            <v>163.29</v>
          </cell>
          <cell r="EU7">
            <v>165.08</v>
          </cell>
          <cell r="EV7">
            <v>166.33</v>
          </cell>
          <cell r="EW7">
            <v>167.74</v>
          </cell>
          <cell r="EX7">
            <v>169.1</v>
          </cell>
          <cell r="EY7">
            <v>169.69</v>
          </cell>
          <cell r="EZ7">
            <v>169.95</v>
          </cell>
          <cell r="FA7">
            <v>171.06</v>
          </cell>
          <cell r="FB7">
            <v>172.35</v>
          </cell>
          <cell r="FC7">
            <v>173.69</v>
          </cell>
          <cell r="FD7">
            <v>174.96</v>
          </cell>
          <cell r="FE7">
            <v>175.63</v>
          </cell>
          <cell r="FF7">
            <v>175.85</v>
          </cell>
          <cell r="FG7">
            <v>176.08</v>
          </cell>
          <cell r="FH7">
            <v>176.75</v>
          </cell>
          <cell r="FI7">
            <v>177.97</v>
          </cell>
          <cell r="FJ7">
            <v>179.21</v>
          </cell>
          <cell r="FK7">
            <v>180.17</v>
          </cell>
          <cell r="FL7">
            <v>180.91</v>
          </cell>
          <cell r="FM7">
            <v>181.08</v>
          </cell>
          <cell r="FN7">
            <v>181.23</v>
          </cell>
          <cell r="FO7">
            <v>182.43</v>
          </cell>
          <cell r="FP7">
            <v>183.63</v>
          </cell>
          <cell r="FQ7">
            <v>184.87</v>
          </cell>
          <cell r="FR7">
            <v>186.15</v>
          </cell>
          <cell r="FS7">
            <v>187.44</v>
          </cell>
          <cell r="FT7">
            <v>187.68</v>
          </cell>
          <cell r="FU7">
            <v>187.93</v>
          </cell>
          <cell r="FV7">
            <v>189.17</v>
          </cell>
          <cell r="FW7">
            <v>190.41</v>
          </cell>
          <cell r="FX7">
            <v>191.71</v>
          </cell>
          <cell r="FY7">
            <v>192.8</v>
          </cell>
          <cell r="FZ7">
            <v>194.01</v>
          </cell>
          <cell r="GA7">
            <v>194.24</v>
          </cell>
          <cell r="GB7">
            <v>194.47</v>
          </cell>
          <cell r="GC7">
            <v>194.96</v>
          </cell>
          <cell r="GD7">
            <v>195.72</v>
          </cell>
          <cell r="GE7">
            <v>196.55</v>
          </cell>
          <cell r="GF7">
            <v>197.13</v>
          </cell>
          <cell r="GG7">
            <v>197.42</v>
          </cell>
          <cell r="GH7">
            <v>197.7</v>
          </cell>
          <cell r="GI7">
            <v>197.91</v>
          </cell>
          <cell r="GJ7">
            <v>199.28</v>
          </cell>
          <cell r="GK7">
            <v>200.58</v>
          </cell>
          <cell r="GL7">
            <v>201.83</v>
          </cell>
          <cell r="GM7">
            <v>202.96</v>
          </cell>
          <cell r="GN7">
            <v>204.27</v>
          </cell>
          <cell r="GO7">
            <v>205.48</v>
          </cell>
          <cell r="GP7">
            <v>205.76</v>
          </cell>
          <cell r="GQ7">
            <v>206.59</v>
          </cell>
          <cell r="GR7">
            <v>207.08</v>
          </cell>
          <cell r="GS7">
            <v>208.11</v>
          </cell>
          <cell r="GT7">
            <v>208.85</v>
          </cell>
          <cell r="GU7">
            <v>209.09</v>
          </cell>
          <cell r="GV7">
            <v>209.29</v>
          </cell>
          <cell r="GW7">
            <v>209.48</v>
          </cell>
          <cell r="GX7">
            <v>210.13</v>
          </cell>
          <cell r="GY7">
            <v>211.38</v>
          </cell>
          <cell r="GZ7">
            <v>212.57</v>
          </cell>
          <cell r="HA7">
            <v>213.65</v>
          </cell>
          <cell r="HB7">
            <v>214.2</v>
          </cell>
          <cell r="HC7">
            <v>214.46</v>
          </cell>
          <cell r="HD7">
            <v>214.65</v>
          </cell>
          <cell r="HE7">
            <v>215.36</v>
          </cell>
          <cell r="HF7">
            <v>216.54</v>
          </cell>
          <cell r="HG7">
            <v>217.75</v>
          </cell>
          <cell r="HH7">
            <v>218.96</v>
          </cell>
          <cell r="HI7">
            <v>220.09</v>
          </cell>
          <cell r="HJ7">
            <v>220.83</v>
          </cell>
          <cell r="HK7">
            <v>221.07</v>
          </cell>
          <cell r="HL7">
            <v>222.36</v>
          </cell>
          <cell r="HM7">
            <v>223.69</v>
          </cell>
          <cell r="HN7">
            <v>224.72</v>
          </cell>
          <cell r="HO7">
            <v>225.75</v>
          </cell>
          <cell r="HP7">
            <v>226.99</v>
          </cell>
          <cell r="HQ7">
            <v>227.78</v>
          </cell>
          <cell r="HR7">
            <v>228.02</v>
          </cell>
          <cell r="HS7">
            <v>228.65</v>
          </cell>
          <cell r="HT7">
            <v>229.66</v>
          </cell>
          <cell r="HU7">
            <v>230.95</v>
          </cell>
          <cell r="HV7">
            <v>232.03</v>
          </cell>
          <cell r="HW7">
            <v>233.31</v>
          </cell>
          <cell r="HX7">
            <v>233.97</v>
          </cell>
          <cell r="HY7">
            <v>234.22</v>
          </cell>
          <cell r="HZ7">
            <v>235.46</v>
          </cell>
          <cell r="IA7">
            <v>236.62</v>
          </cell>
          <cell r="IB7">
            <v>236.83</v>
          </cell>
          <cell r="IC7">
            <v>238.12</v>
          </cell>
          <cell r="ID7">
            <v>239.39</v>
          </cell>
          <cell r="IE7">
            <v>240.56</v>
          </cell>
          <cell r="IF7">
            <v>240.77</v>
          </cell>
          <cell r="IG7">
            <v>241.31</v>
          </cell>
          <cell r="IH7">
            <v>242.38</v>
          </cell>
          <cell r="II7">
            <v>243.29</v>
          </cell>
          <cell r="IJ7">
            <v>244.42</v>
          </cell>
          <cell r="IK7">
            <v>245.63</v>
          </cell>
          <cell r="IL7">
            <v>246.85</v>
          </cell>
          <cell r="IM7">
            <v>247.11</v>
          </cell>
          <cell r="IN7">
            <v>248.27</v>
          </cell>
          <cell r="IO7">
            <v>249.46</v>
          </cell>
          <cell r="IP7">
            <v>249.99</v>
          </cell>
          <cell r="IQ7">
            <v>250.97</v>
          </cell>
          <cell r="IR7">
            <v>252.3</v>
          </cell>
          <cell r="IS7">
            <v>252.94</v>
          </cell>
          <cell r="IT7">
            <v>253.13</v>
          </cell>
          <cell r="IU7">
            <v>254.19</v>
          </cell>
          <cell r="IV7">
            <v>255.34</v>
          </cell>
          <cell r="IW7">
            <v>256.52999999999997</v>
          </cell>
          <cell r="IX7">
            <v>257.83999999999997</v>
          </cell>
          <cell r="IY7">
            <v>259.22000000000003</v>
          </cell>
          <cell r="IZ7">
            <v>260.14</v>
          </cell>
          <cell r="JA7">
            <v>260.38</v>
          </cell>
          <cell r="JB7">
            <v>260.38</v>
          </cell>
          <cell r="JC7">
            <v>260.98</v>
          </cell>
          <cell r="JD7">
            <v>262.08999999999997</v>
          </cell>
          <cell r="JE7">
            <v>263.07</v>
          </cell>
          <cell r="JF7">
            <v>263.97000000000003</v>
          </cell>
          <cell r="JG7">
            <v>264.85000000000002</v>
          </cell>
          <cell r="JH7">
            <v>265.31</v>
          </cell>
          <cell r="JI7">
            <v>266.35000000000002</v>
          </cell>
          <cell r="JJ7">
            <v>267.58999999999997</v>
          </cell>
          <cell r="JK7">
            <v>268.32</v>
          </cell>
          <cell r="JL7">
            <v>269.14</v>
          </cell>
          <cell r="JM7">
            <v>269.77999999999997</v>
          </cell>
          <cell r="JN7">
            <v>270.59999999999997</v>
          </cell>
          <cell r="JO7">
            <v>271.54000000000002</v>
          </cell>
          <cell r="JP7">
            <v>272.66000000000003</v>
          </cell>
          <cell r="JQ7">
            <v>273.85000000000002</v>
          </cell>
          <cell r="JR7">
            <v>275.11</v>
          </cell>
          <cell r="JS7">
            <v>276.39</v>
          </cell>
          <cell r="JT7">
            <v>277.64</v>
          </cell>
          <cell r="JU7">
            <v>278.44</v>
          </cell>
          <cell r="JV7">
            <v>278.70999999999998</v>
          </cell>
          <cell r="JW7">
            <v>278.92</v>
          </cell>
          <cell r="JX7">
            <v>279.18</v>
          </cell>
          <cell r="JY7">
            <v>279.62</v>
          </cell>
          <cell r="JZ7">
            <v>280.11</v>
          </cell>
          <cell r="KA7">
            <v>280.43</v>
          </cell>
          <cell r="KB7">
            <v>280.64</v>
          </cell>
          <cell r="KC7">
            <v>280.82</v>
          </cell>
          <cell r="KD7">
            <v>282.02999999999997</v>
          </cell>
          <cell r="KE7">
            <v>283.14</v>
          </cell>
          <cell r="KF7">
            <v>284</v>
          </cell>
          <cell r="KG7">
            <v>284.79000000000002</v>
          </cell>
          <cell r="KH7">
            <v>285.99</v>
          </cell>
          <cell r="KI7">
            <v>287.35000000000002</v>
          </cell>
          <cell r="KJ7">
            <v>287.56</v>
          </cell>
          <cell r="KK7">
            <v>288.83</v>
          </cell>
          <cell r="KL7">
            <v>289.75</v>
          </cell>
          <cell r="KM7">
            <v>290.95</v>
          </cell>
          <cell r="KN7">
            <v>292.08</v>
          </cell>
          <cell r="KO7">
            <v>293.33</v>
          </cell>
          <cell r="KP7">
            <v>293.52999999999997</v>
          </cell>
          <cell r="KQ7">
            <v>294.64</v>
          </cell>
          <cell r="KR7">
            <v>295.95999999999998</v>
          </cell>
          <cell r="KS7">
            <v>297.31</v>
          </cell>
          <cell r="KT7">
            <v>298.67</v>
          </cell>
          <cell r="KU7">
            <v>300.05</v>
          </cell>
          <cell r="KV7">
            <v>301.23</v>
          </cell>
          <cell r="KW7">
            <v>302.64999999999998</v>
          </cell>
          <cell r="KX7">
            <v>303.27</v>
          </cell>
          <cell r="KY7">
            <v>304.45999999999998</v>
          </cell>
          <cell r="KZ7">
            <v>305.60000000000002</v>
          </cell>
          <cell r="LA7">
            <v>306.82</v>
          </cell>
          <cell r="LB7">
            <v>307.7</v>
          </cell>
          <cell r="LC7">
            <v>308.75</v>
          </cell>
          <cell r="LD7">
            <v>310.02999999999997</v>
          </cell>
          <cell r="LE7">
            <v>311.24</v>
          </cell>
          <cell r="LF7">
            <v>312.57</v>
          </cell>
          <cell r="LG7">
            <v>313.89999999999998</v>
          </cell>
          <cell r="LH7">
            <v>315.10000000000002</v>
          </cell>
          <cell r="LI7">
            <v>316.3</v>
          </cell>
          <cell r="LJ7">
            <v>317.60000000000002</v>
          </cell>
          <cell r="LK7">
            <v>319.11</v>
          </cell>
          <cell r="LL7">
            <v>319.7</v>
          </cell>
          <cell r="LM7">
            <v>321.11</v>
          </cell>
          <cell r="LN7">
            <v>322.27</v>
          </cell>
          <cell r="LO7">
            <v>322.93</v>
          </cell>
          <cell r="LP7">
            <v>323.54000000000002</v>
          </cell>
          <cell r="LQ7">
            <v>324.22000000000003</v>
          </cell>
          <cell r="LR7">
            <v>325.01</v>
          </cell>
          <cell r="LS7">
            <v>325.74</v>
          </cell>
          <cell r="LT7">
            <v>326.60000000000002</v>
          </cell>
          <cell r="LU7">
            <v>327.41000000000003</v>
          </cell>
          <cell r="LV7">
            <v>327.7</v>
          </cell>
          <cell r="LW7">
            <v>328.13</v>
          </cell>
          <cell r="LX7">
            <v>328.68</v>
          </cell>
          <cell r="LY7">
            <v>329.01</v>
          </cell>
          <cell r="LZ7">
            <v>329.42</v>
          </cell>
          <cell r="MA7">
            <v>329.63</v>
          </cell>
          <cell r="MB7">
            <v>0</v>
          </cell>
          <cell r="MC7">
            <v>0</v>
          </cell>
          <cell r="MD7">
            <v>0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</row>
        <row r="8">
          <cell r="A8" t="str">
            <v>sd 40</v>
          </cell>
          <cell r="B8">
            <v>577.78</v>
          </cell>
          <cell r="C8">
            <v>577.83000000000004</v>
          </cell>
          <cell r="D8">
            <v>577.91</v>
          </cell>
          <cell r="E8">
            <v>577.99</v>
          </cell>
          <cell r="F8">
            <v>578.05999999999995</v>
          </cell>
          <cell r="G8">
            <v>578.16</v>
          </cell>
          <cell r="H8">
            <v>578.22</v>
          </cell>
          <cell r="I8">
            <v>578.28</v>
          </cell>
          <cell r="J8">
            <v>578.78</v>
          </cell>
          <cell r="K8">
            <v>579.26</v>
          </cell>
          <cell r="L8">
            <v>579.74</v>
          </cell>
          <cell r="M8">
            <v>579.86</v>
          </cell>
          <cell r="N8">
            <v>579.94000000000005</v>
          </cell>
          <cell r="O8">
            <v>580.02</v>
          </cell>
          <cell r="P8">
            <v>580.09</v>
          </cell>
          <cell r="Q8">
            <v>580.54999999999995</v>
          </cell>
          <cell r="R8">
            <v>581.04999999999995</v>
          </cell>
          <cell r="S8">
            <v>581.51</v>
          </cell>
          <cell r="T8">
            <v>581.85</v>
          </cell>
          <cell r="U8">
            <v>581.91</v>
          </cell>
          <cell r="V8">
            <v>581.97</v>
          </cell>
          <cell r="W8">
            <v>582.03</v>
          </cell>
          <cell r="X8">
            <v>582.27</v>
          </cell>
          <cell r="Y8">
            <v>582.72</v>
          </cell>
          <cell r="Z8">
            <v>583.20000000000005</v>
          </cell>
          <cell r="AA8">
            <v>583.65</v>
          </cell>
          <cell r="AB8">
            <v>583.71</v>
          </cell>
          <cell r="AC8">
            <v>583.78</v>
          </cell>
          <cell r="AD8">
            <v>583.86</v>
          </cell>
          <cell r="AE8">
            <v>584.35</v>
          </cell>
          <cell r="AF8">
            <v>584.87</v>
          </cell>
          <cell r="AG8">
            <v>585.38</v>
          </cell>
          <cell r="AH8">
            <v>585.65</v>
          </cell>
          <cell r="AI8">
            <v>585.71</v>
          </cell>
          <cell r="AJ8">
            <v>585.78</v>
          </cell>
          <cell r="AK8">
            <v>585.84</v>
          </cell>
          <cell r="AL8">
            <v>585.91</v>
          </cell>
          <cell r="AM8">
            <v>586.34</v>
          </cell>
          <cell r="AN8">
            <v>586.80999999999995</v>
          </cell>
          <cell r="AO8">
            <v>587.05999999999995</v>
          </cell>
          <cell r="AP8">
            <v>587.13</v>
          </cell>
          <cell r="AQ8">
            <v>587.20000000000005</v>
          </cell>
          <cell r="AR8">
            <v>587.26</v>
          </cell>
          <cell r="AS8">
            <v>587.73</v>
          </cell>
          <cell r="AT8">
            <v>588.22</v>
          </cell>
          <cell r="AU8">
            <v>588.72</v>
          </cell>
          <cell r="AV8">
            <v>588.85</v>
          </cell>
          <cell r="AW8">
            <v>588.9</v>
          </cell>
          <cell r="AX8">
            <v>588.96</v>
          </cell>
          <cell r="AY8">
            <v>589.02</v>
          </cell>
          <cell r="AZ8">
            <v>589.51</v>
          </cell>
          <cell r="BA8">
            <v>589.96</v>
          </cell>
          <cell r="BB8">
            <v>590.47</v>
          </cell>
          <cell r="BC8">
            <v>590.62</v>
          </cell>
          <cell r="BD8">
            <v>590.69000000000005</v>
          </cell>
          <cell r="BE8">
            <v>590.76</v>
          </cell>
          <cell r="BF8">
            <v>590.83000000000004</v>
          </cell>
          <cell r="BG8">
            <v>591.29</v>
          </cell>
          <cell r="BH8">
            <v>591.82000000000005</v>
          </cell>
          <cell r="BI8">
            <v>592.27</v>
          </cell>
          <cell r="BJ8">
            <v>592.72</v>
          </cell>
          <cell r="BK8">
            <v>592.79</v>
          </cell>
          <cell r="BL8">
            <v>592.86</v>
          </cell>
          <cell r="BM8">
            <v>592.94000000000005</v>
          </cell>
          <cell r="BN8">
            <v>593.16</v>
          </cell>
          <cell r="BO8">
            <v>593.46</v>
          </cell>
          <cell r="BP8">
            <v>593.75</v>
          </cell>
          <cell r="BQ8">
            <v>594.01</v>
          </cell>
          <cell r="BR8">
            <v>594.14</v>
          </cell>
          <cell r="BS8">
            <v>594.21</v>
          </cell>
          <cell r="BT8">
            <v>594.28</v>
          </cell>
          <cell r="BU8">
            <v>594.63</v>
          </cell>
          <cell r="BV8">
            <v>595</v>
          </cell>
          <cell r="BW8">
            <v>595.26</v>
          </cell>
          <cell r="BX8">
            <v>595.32000000000005</v>
          </cell>
          <cell r="BY8">
            <v>595.39</v>
          </cell>
          <cell r="BZ8">
            <v>595.46</v>
          </cell>
          <cell r="CA8">
            <v>595.53</v>
          </cell>
          <cell r="CB8">
            <v>595.61</v>
          </cell>
          <cell r="CC8">
            <v>595.91999999999996</v>
          </cell>
          <cell r="CD8">
            <v>596.23</v>
          </cell>
          <cell r="CE8">
            <v>596.37</v>
          </cell>
          <cell r="CF8">
            <v>59644</v>
          </cell>
          <cell r="CG8">
            <v>596.51</v>
          </cell>
          <cell r="CH8">
            <v>596.58000000000004</v>
          </cell>
          <cell r="CI8">
            <v>596.91</v>
          </cell>
          <cell r="CJ8">
            <v>597.24</v>
          </cell>
          <cell r="CK8">
            <v>597.54</v>
          </cell>
          <cell r="CL8">
            <v>597.72</v>
          </cell>
          <cell r="CM8">
            <v>597.78</v>
          </cell>
          <cell r="CN8">
            <v>597.84</v>
          </cell>
          <cell r="CO8">
            <v>597.95000000000005</v>
          </cell>
          <cell r="CP8">
            <v>598.46</v>
          </cell>
          <cell r="CQ8">
            <v>598.99</v>
          </cell>
          <cell r="CR8">
            <v>599.39</v>
          </cell>
          <cell r="CS8">
            <v>599.46</v>
          </cell>
          <cell r="CT8">
            <v>599.53</v>
          </cell>
          <cell r="CU8">
            <v>599.6</v>
          </cell>
          <cell r="CV8">
            <v>599.66999999999996</v>
          </cell>
          <cell r="CW8">
            <v>600.19000000000005</v>
          </cell>
          <cell r="CX8">
            <v>600.66</v>
          </cell>
          <cell r="CY8">
            <v>601.16999999999996</v>
          </cell>
          <cell r="CZ8">
            <v>601.62</v>
          </cell>
          <cell r="DA8">
            <v>601.69000000000005</v>
          </cell>
          <cell r="DB8">
            <v>601.76</v>
          </cell>
          <cell r="DC8">
            <v>601.82000000000005</v>
          </cell>
          <cell r="DD8">
            <v>601.89</v>
          </cell>
          <cell r="DE8">
            <v>601.97</v>
          </cell>
          <cell r="DF8">
            <v>602.03</v>
          </cell>
          <cell r="DG8">
            <v>602.11</v>
          </cell>
          <cell r="DH8">
            <v>602.16999999999996</v>
          </cell>
          <cell r="DI8">
            <v>602.23</v>
          </cell>
          <cell r="DJ8">
            <v>602.23</v>
          </cell>
          <cell r="DK8">
            <v>602.37</v>
          </cell>
          <cell r="DL8">
            <v>602.80999999999995</v>
          </cell>
          <cell r="DM8">
            <v>603.28</v>
          </cell>
          <cell r="DN8">
            <v>603.80999999999995</v>
          </cell>
          <cell r="DO8">
            <v>604.09</v>
          </cell>
          <cell r="DP8">
            <v>604.16999999999996</v>
          </cell>
          <cell r="DQ8">
            <v>604.24</v>
          </cell>
          <cell r="DR8">
            <v>604.74</v>
          </cell>
          <cell r="DS8">
            <v>605.17999999999995</v>
          </cell>
          <cell r="DT8">
            <v>605.26</v>
          </cell>
          <cell r="DU8">
            <v>605.33000000000004</v>
          </cell>
          <cell r="DV8">
            <v>605.39</v>
          </cell>
          <cell r="DW8">
            <v>605.45000000000005</v>
          </cell>
          <cell r="DX8">
            <v>605.5</v>
          </cell>
          <cell r="DY8">
            <v>605.87</v>
          </cell>
          <cell r="DZ8">
            <v>606.05999999999995</v>
          </cell>
          <cell r="EA8">
            <v>606.55999999999995</v>
          </cell>
          <cell r="EB8">
            <v>606.80999999999995</v>
          </cell>
          <cell r="EC8">
            <v>606.89</v>
          </cell>
          <cell r="ED8">
            <v>606.96</v>
          </cell>
          <cell r="EE8">
            <v>606.37</v>
          </cell>
          <cell r="EF8">
            <v>606.59249999999997</v>
          </cell>
          <cell r="EG8">
            <v>607.03</v>
          </cell>
          <cell r="EH8">
            <v>605.68999999999994</v>
          </cell>
          <cell r="EI8">
            <v>608.54999999999995</v>
          </cell>
          <cell r="EJ8">
            <v>608.61</v>
          </cell>
          <cell r="EK8">
            <v>608.70000000000005</v>
          </cell>
          <cell r="EL8">
            <v>608.76</v>
          </cell>
          <cell r="EM8">
            <v>609.22</v>
          </cell>
          <cell r="EN8">
            <v>609.67999999999995</v>
          </cell>
          <cell r="EO8">
            <v>609.96</v>
          </cell>
          <cell r="EP8">
            <v>610.07000000000005</v>
          </cell>
          <cell r="EQ8">
            <v>610.17999999999995</v>
          </cell>
          <cell r="ER8">
            <v>610.27</v>
          </cell>
          <cell r="ES8">
            <v>610.34</v>
          </cell>
          <cell r="ET8">
            <v>610.87</v>
          </cell>
          <cell r="EU8">
            <v>611.36</v>
          </cell>
          <cell r="EV8">
            <v>611.89</v>
          </cell>
          <cell r="EW8">
            <v>612.09</v>
          </cell>
          <cell r="EX8">
            <v>612.16</v>
          </cell>
          <cell r="EY8">
            <v>612.22</v>
          </cell>
          <cell r="EZ8">
            <v>612.30999999999995</v>
          </cell>
          <cell r="FA8">
            <v>612.83000000000004</v>
          </cell>
          <cell r="FB8">
            <v>613.35</v>
          </cell>
          <cell r="FC8">
            <v>613.73</v>
          </cell>
          <cell r="FD8">
            <v>613.79</v>
          </cell>
          <cell r="FE8">
            <v>613.86</v>
          </cell>
          <cell r="FF8">
            <v>613.92999999999995</v>
          </cell>
          <cell r="FG8">
            <v>613.99</v>
          </cell>
          <cell r="FH8">
            <v>614.07000000000005</v>
          </cell>
          <cell r="FI8">
            <v>614.13</v>
          </cell>
          <cell r="FJ8">
            <v>614.17999999999995</v>
          </cell>
          <cell r="FK8">
            <v>614.24</v>
          </cell>
          <cell r="FL8">
            <v>614.29999999999995</v>
          </cell>
          <cell r="FM8">
            <v>614.32000000000005</v>
          </cell>
          <cell r="FN8">
            <v>614.35</v>
          </cell>
          <cell r="FO8">
            <v>614.4</v>
          </cell>
          <cell r="FP8">
            <v>614.45000000000005</v>
          </cell>
          <cell r="FQ8">
            <v>614.49</v>
          </cell>
          <cell r="FR8">
            <v>614.54</v>
          </cell>
          <cell r="FS8">
            <v>614.59</v>
          </cell>
          <cell r="FT8">
            <v>614.63</v>
          </cell>
          <cell r="FU8">
            <v>614.66</v>
          </cell>
          <cell r="FV8">
            <v>614.70000000000005</v>
          </cell>
          <cell r="FW8">
            <v>614.75</v>
          </cell>
          <cell r="FX8">
            <v>614.79</v>
          </cell>
          <cell r="FY8">
            <v>614.84</v>
          </cell>
          <cell r="FZ8">
            <v>614.94000000000005</v>
          </cell>
          <cell r="GA8">
            <v>615.01</v>
          </cell>
          <cell r="GB8">
            <v>615.04</v>
          </cell>
          <cell r="GC8">
            <v>615.57000000000005</v>
          </cell>
          <cell r="GD8">
            <v>616.05999999999995</v>
          </cell>
          <cell r="GE8">
            <v>616.55999999999995</v>
          </cell>
          <cell r="GF8">
            <v>616.62</v>
          </cell>
          <cell r="GG8">
            <v>616.67999999999995</v>
          </cell>
          <cell r="GH8">
            <v>616.76</v>
          </cell>
          <cell r="GI8">
            <v>616.82000000000005</v>
          </cell>
          <cell r="GJ8">
            <v>617.34</v>
          </cell>
          <cell r="GK8">
            <v>617.84</v>
          </cell>
          <cell r="GL8">
            <v>618.16</v>
          </cell>
          <cell r="GM8">
            <v>618.23</v>
          </cell>
          <cell r="GN8">
            <v>618.29999999999995</v>
          </cell>
          <cell r="GO8">
            <v>618.37</v>
          </cell>
          <cell r="GP8">
            <v>618.45000000000005</v>
          </cell>
          <cell r="GQ8">
            <v>618.95000000000005</v>
          </cell>
          <cell r="GR8">
            <v>619.48</v>
          </cell>
          <cell r="GS8">
            <v>619.76</v>
          </cell>
          <cell r="GT8">
            <v>619.83000000000004</v>
          </cell>
          <cell r="GU8">
            <v>619.9</v>
          </cell>
          <cell r="GV8">
            <v>619.97</v>
          </cell>
          <cell r="GW8">
            <v>620.03</v>
          </cell>
          <cell r="GX8">
            <v>620.12</v>
          </cell>
          <cell r="GY8">
            <v>620.54</v>
          </cell>
          <cell r="GZ8">
            <v>621.04</v>
          </cell>
          <cell r="HA8">
            <v>621.54</v>
          </cell>
          <cell r="HB8">
            <v>622.03</v>
          </cell>
          <cell r="HC8">
            <v>622.1</v>
          </cell>
          <cell r="HD8">
            <v>622.16999999999996</v>
          </cell>
          <cell r="HE8">
            <v>622.67999999999995</v>
          </cell>
          <cell r="HF8">
            <v>623.16999999999996</v>
          </cell>
          <cell r="HG8">
            <v>623.66999999999996</v>
          </cell>
          <cell r="HH8">
            <v>623.97</v>
          </cell>
          <cell r="HI8">
            <v>624.03</v>
          </cell>
          <cell r="HJ8">
            <v>624.09</v>
          </cell>
          <cell r="HK8">
            <v>624.15</v>
          </cell>
          <cell r="HL8">
            <v>624.58000000000004</v>
          </cell>
          <cell r="HM8">
            <v>625.09</v>
          </cell>
          <cell r="HN8">
            <v>625.54999999999995</v>
          </cell>
          <cell r="HO8">
            <v>625.79</v>
          </cell>
          <cell r="HP8">
            <v>625.88</v>
          </cell>
          <cell r="HQ8">
            <v>625.95000000000005</v>
          </cell>
          <cell r="HR8">
            <v>626.04</v>
          </cell>
          <cell r="HS8">
            <v>626.52</v>
          </cell>
          <cell r="HT8">
            <v>626.99</v>
          </cell>
          <cell r="HU8">
            <v>627.44000000000005</v>
          </cell>
          <cell r="HV8">
            <v>627.53</v>
          </cell>
          <cell r="HW8">
            <v>627.65</v>
          </cell>
          <cell r="HX8">
            <v>627.72</v>
          </cell>
          <cell r="HY8">
            <v>627.79999999999995</v>
          </cell>
          <cell r="HZ8">
            <v>628.29</v>
          </cell>
          <cell r="IA8">
            <v>628.79</v>
          </cell>
          <cell r="IB8">
            <v>628.9</v>
          </cell>
          <cell r="IC8">
            <v>629.41999999999996</v>
          </cell>
          <cell r="ID8">
            <v>629.70000000000005</v>
          </cell>
          <cell r="IE8">
            <v>629.79</v>
          </cell>
          <cell r="IF8">
            <v>629.85</v>
          </cell>
          <cell r="IG8">
            <v>629.94000000000005</v>
          </cell>
          <cell r="IH8">
            <v>630.4</v>
          </cell>
          <cell r="II8">
            <v>630.88</v>
          </cell>
          <cell r="IJ8">
            <v>631.35</v>
          </cell>
          <cell r="IK8">
            <v>631.77</v>
          </cell>
          <cell r="IL8">
            <v>631.94000000000005</v>
          </cell>
          <cell r="IM8">
            <v>632</v>
          </cell>
          <cell r="IN8">
            <v>632.21</v>
          </cell>
          <cell r="IO8">
            <v>632.69000000000005</v>
          </cell>
          <cell r="IP8">
            <v>632.88</v>
          </cell>
          <cell r="IQ8">
            <v>633.25</v>
          </cell>
          <cell r="IR8">
            <v>633.78</v>
          </cell>
          <cell r="IS8">
            <v>634.24</v>
          </cell>
          <cell r="IT8">
            <v>634.29999999999995</v>
          </cell>
          <cell r="IU8">
            <v>634.82000000000005</v>
          </cell>
          <cell r="IV8">
            <v>635.04999999999995</v>
          </cell>
          <cell r="IW8">
            <v>635.41</v>
          </cell>
          <cell r="IX8">
            <v>635.91999999999996</v>
          </cell>
          <cell r="IY8">
            <v>636.19000000000005</v>
          </cell>
          <cell r="IZ8">
            <v>636.26</v>
          </cell>
          <cell r="JA8">
            <v>636.33000000000004</v>
          </cell>
          <cell r="JB8">
            <v>636.33000000000004</v>
          </cell>
          <cell r="JC8">
            <v>636.84</v>
          </cell>
          <cell r="JD8">
            <v>636.91</v>
          </cell>
          <cell r="JE8">
            <v>636.97</v>
          </cell>
          <cell r="JF8">
            <v>637.02</v>
          </cell>
          <cell r="JG8">
            <v>637.07000000000005</v>
          </cell>
          <cell r="JH8">
            <v>637.12</v>
          </cell>
          <cell r="JI8">
            <v>637.61</v>
          </cell>
          <cell r="JJ8">
            <v>638.09</v>
          </cell>
          <cell r="JK8">
            <v>638.57000000000005</v>
          </cell>
          <cell r="JL8">
            <v>638.80999999999995</v>
          </cell>
          <cell r="JM8">
            <v>638.89</v>
          </cell>
          <cell r="JN8">
            <v>638.93999999999994</v>
          </cell>
          <cell r="JO8">
            <v>639.02</v>
          </cell>
          <cell r="JP8">
            <v>639.1</v>
          </cell>
          <cell r="JQ8">
            <v>639.16</v>
          </cell>
          <cell r="JR8">
            <v>639.22</v>
          </cell>
          <cell r="JS8">
            <v>639.29</v>
          </cell>
          <cell r="JT8">
            <v>639.36</v>
          </cell>
          <cell r="JU8">
            <v>639.42999999999995</v>
          </cell>
          <cell r="JV8">
            <v>639.5</v>
          </cell>
          <cell r="JW8">
            <v>639.94000000000005</v>
          </cell>
          <cell r="JX8">
            <v>640.45000000000005</v>
          </cell>
          <cell r="JY8">
            <v>640.57000000000005</v>
          </cell>
          <cell r="JZ8">
            <v>640.63</v>
          </cell>
          <cell r="KA8">
            <v>640.70000000000005</v>
          </cell>
          <cell r="KB8">
            <v>640.77</v>
          </cell>
          <cell r="KC8">
            <v>640.82000000000005</v>
          </cell>
          <cell r="KD8">
            <v>640.89</v>
          </cell>
          <cell r="KE8">
            <v>640.96</v>
          </cell>
          <cell r="KF8">
            <v>641.02</v>
          </cell>
          <cell r="KG8">
            <v>641.08000000000004</v>
          </cell>
          <cell r="KH8">
            <v>641.14</v>
          </cell>
          <cell r="KI8">
            <v>641.20000000000005</v>
          </cell>
          <cell r="KJ8">
            <v>641.26</v>
          </cell>
          <cell r="KK8">
            <v>641.76</v>
          </cell>
          <cell r="KL8">
            <v>642.26</v>
          </cell>
          <cell r="KM8">
            <v>642.4</v>
          </cell>
          <cell r="KN8">
            <v>642.47</v>
          </cell>
          <cell r="KO8">
            <v>642.54</v>
          </cell>
          <cell r="KP8">
            <v>642.58999999999992</v>
          </cell>
          <cell r="KQ8">
            <v>642.63</v>
          </cell>
          <cell r="KR8">
            <v>643.13</v>
          </cell>
          <cell r="KS8">
            <v>643.6</v>
          </cell>
          <cell r="KT8">
            <v>643.85</v>
          </cell>
          <cell r="KU8">
            <v>643.92999999999995</v>
          </cell>
          <cell r="KV8">
            <v>643.99</v>
          </cell>
          <cell r="KW8">
            <v>644.07000000000005</v>
          </cell>
          <cell r="KX8">
            <v>644.13</v>
          </cell>
          <cell r="KY8">
            <v>644.19000000000005</v>
          </cell>
          <cell r="KZ8">
            <v>644.26</v>
          </cell>
          <cell r="LA8">
            <v>644.32000000000005</v>
          </cell>
          <cell r="LB8">
            <v>644.38</v>
          </cell>
          <cell r="LC8">
            <v>644.44000000000005</v>
          </cell>
          <cell r="LD8">
            <v>644.49</v>
          </cell>
          <cell r="LE8">
            <v>644.54999999999995</v>
          </cell>
          <cell r="LF8">
            <v>645.03</v>
          </cell>
          <cell r="LG8">
            <v>645.52</v>
          </cell>
          <cell r="LH8">
            <v>645.66999999999996</v>
          </cell>
          <cell r="LI8">
            <v>645.74</v>
          </cell>
          <cell r="LJ8">
            <v>645.79999999999995</v>
          </cell>
          <cell r="LK8">
            <v>645.88</v>
          </cell>
          <cell r="LL8">
            <v>645.92999999999995</v>
          </cell>
          <cell r="LM8">
            <v>646.1</v>
          </cell>
          <cell r="LN8">
            <v>646.58000000000004</v>
          </cell>
          <cell r="LO8">
            <v>647.02</v>
          </cell>
          <cell r="LP8">
            <v>647.09</v>
          </cell>
          <cell r="LQ8">
            <v>647.16</v>
          </cell>
          <cell r="LR8">
            <v>647.25</v>
          </cell>
          <cell r="LS8">
            <v>647.33000000000004</v>
          </cell>
          <cell r="LT8">
            <v>647.79999999999995</v>
          </cell>
          <cell r="LU8">
            <v>648.26</v>
          </cell>
          <cell r="LV8">
            <v>648.70000000000005</v>
          </cell>
          <cell r="LW8">
            <v>648.94000000000005</v>
          </cell>
          <cell r="LX8">
            <v>648.98</v>
          </cell>
          <cell r="LY8">
            <v>649.01</v>
          </cell>
          <cell r="LZ8">
            <v>649.15</v>
          </cell>
          <cell r="MA8">
            <v>649.66999999999996</v>
          </cell>
          <cell r="MB8">
            <v>0</v>
          </cell>
          <cell r="MC8">
            <v>0</v>
          </cell>
          <cell r="MD8">
            <v>0</v>
          </cell>
          <cell r="ME8">
            <v>0</v>
          </cell>
          <cell r="MF8">
            <v>0</v>
          </cell>
          <cell r="MG8">
            <v>0</v>
          </cell>
          <cell r="MH8">
            <v>0</v>
          </cell>
        </row>
        <row r="9">
          <cell r="A9" t="str">
            <v>sd 41</v>
          </cell>
          <cell r="B9">
            <v>13.86</v>
          </cell>
          <cell r="C9">
            <v>13.94</v>
          </cell>
          <cell r="D9">
            <v>14.13</v>
          </cell>
          <cell r="E9">
            <v>14.28</v>
          </cell>
          <cell r="F9">
            <v>14.43</v>
          </cell>
          <cell r="G9">
            <v>14.58</v>
          </cell>
          <cell r="H9">
            <v>14.72</v>
          </cell>
          <cell r="I9">
            <v>14.86</v>
          </cell>
          <cell r="J9">
            <v>15.28</v>
          </cell>
          <cell r="K9">
            <v>15.8</v>
          </cell>
          <cell r="L9">
            <v>16.3</v>
          </cell>
          <cell r="M9">
            <v>16.59</v>
          </cell>
          <cell r="N9">
            <v>16.75</v>
          </cell>
          <cell r="O9">
            <v>16.89</v>
          </cell>
          <cell r="P9">
            <v>17.02</v>
          </cell>
          <cell r="Q9">
            <v>17.55</v>
          </cell>
          <cell r="R9">
            <v>18.12</v>
          </cell>
          <cell r="S9">
            <v>18.649999999999999</v>
          </cell>
          <cell r="T9">
            <v>18.79</v>
          </cell>
          <cell r="U9">
            <v>18.940000000000001</v>
          </cell>
          <cell r="V9">
            <v>19.079999999999998</v>
          </cell>
          <cell r="W9">
            <v>19.21</v>
          </cell>
          <cell r="X9">
            <v>19.690000000000001</v>
          </cell>
          <cell r="Y9">
            <v>20.13</v>
          </cell>
          <cell r="Z9">
            <v>20.7</v>
          </cell>
          <cell r="AA9">
            <v>20.84</v>
          </cell>
          <cell r="AB9">
            <v>21</v>
          </cell>
          <cell r="AC9">
            <v>21.12</v>
          </cell>
          <cell r="AD9">
            <v>21.26</v>
          </cell>
          <cell r="AE9">
            <v>21.4</v>
          </cell>
          <cell r="AF9">
            <v>21.88</v>
          </cell>
          <cell r="AG9">
            <v>22.39</v>
          </cell>
          <cell r="AH9">
            <v>22.8</v>
          </cell>
          <cell r="AI9">
            <v>23.19</v>
          </cell>
          <cell r="AJ9">
            <v>23.35</v>
          </cell>
          <cell r="AK9">
            <v>23.5</v>
          </cell>
          <cell r="AL9">
            <v>23.65</v>
          </cell>
          <cell r="AM9">
            <v>24.21</v>
          </cell>
          <cell r="AN9">
            <v>24.76</v>
          </cell>
          <cell r="AO9">
            <v>25.05</v>
          </cell>
          <cell r="AP9">
            <v>25.2</v>
          </cell>
          <cell r="AQ9">
            <v>25.31</v>
          </cell>
          <cell r="AR9">
            <v>25.43</v>
          </cell>
          <cell r="AS9">
            <v>25.88</v>
          </cell>
          <cell r="AT9">
            <v>26.43</v>
          </cell>
          <cell r="AU9">
            <v>26.94</v>
          </cell>
          <cell r="AV9">
            <v>27.07</v>
          </cell>
          <cell r="AW9">
            <v>27.21</v>
          </cell>
          <cell r="AX9">
            <v>27.36</v>
          </cell>
          <cell r="AY9">
            <v>27.49</v>
          </cell>
          <cell r="AZ9">
            <v>27.94</v>
          </cell>
          <cell r="BA9">
            <v>28.52</v>
          </cell>
          <cell r="BB9">
            <v>28.97</v>
          </cell>
          <cell r="BC9">
            <v>29.1</v>
          </cell>
          <cell r="BD9">
            <v>29.36</v>
          </cell>
          <cell r="BE9">
            <v>29.49</v>
          </cell>
          <cell r="BF9">
            <v>29.62</v>
          </cell>
          <cell r="BG9">
            <v>30.1</v>
          </cell>
          <cell r="BH9">
            <v>30.68</v>
          </cell>
          <cell r="BI9">
            <v>31.06</v>
          </cell>
          <cell r="BJ9">
            <v>31.6</v>
          </cell>
          <cell r="BK9">
            <v>32.090000000000003</v>
          </cell>
          <cell r="BL9">
            <v>32.22</v>
          </cell>
          <cell r="BM9">
            <v>32.36</v>
          </cell>
          <cell r="BN9">
            <v>32.5</v>
          </cell>
          <cell r="BO9">
            <v>33.020000000000003</v>
          </cell>
          <cell r="BP9">
            <v>33.51</v>
          </cell>
          <cell r="BQ9">
            <v>55.95</v>
          </cell>
          <cell r="BR9">
            <v>34.299999999999997</v>
          </cell>
          <cell r="BS9">
            <v>34.42</v>
          </cell>
          <cell r="BT9">
            <v>34.549999999999997</v>
          </cell>
          <cell r="BU9">
            <v>34.68</v>
          </cell>
          <cell r="BV9">
            <v>34.81</v>
          </cell>
          <cell r="BW9">
            <v>34.93</v>
          </cell>
          <cell r="BX9">
            <v>35.049999999999997</v>
          </cell>
          <cell r="BY9">
            <v>35.18</v>
          </cell>
          <cell r="BZ9">
            <v>35.31</v>
          </cell>
          <cell r="CA9">
            <v>35.42</v>
          </cell>
          <cell r="CB9">
            <v>35.54</v>
          </cell>
          <cell r="CC9">
            <v>36.1</v>
          </cell>
          <cell r="CD9">
            <v>36.68</v>
          </cell>
          <cell r="CE9">
            <v>36.96</v>
          </cell>
          <cell r="CF9">
            <v>37.090000000000003</v>
          </cell>
          <cell r="CG9">
            <v>37.21</v>
          </cell>
          <cell r="CH9">
            <v>37.33</v>
          </cell>
          <cell r="CI9">
            <v>37.450000000000003</v>
          </cell>
          <cell r="CJ9">
            <v>37.71</v>
          </cell>
          <cell r="CK9">
            <v>38.18</v>
          </cell>
          <cell r="CL9">
            <v>38.65</v>
          </cell>
          <cell r="CM9">
            <v>39.01</v>
          </cell>
          <cell r="CN9">
            <v>39.15</v>
          </cell>
          <cell r="CO9">
            <v>39.29</v>
          </cell>
          <cell r="CP9">
            <v>39.89</v>
          </cell>
          <cell r="CQ9">
            <v>40.42</v>
          </cell>
          <cell r="CR9">
            <v>40.83</v>
          </cell>
          <cell r="CS9">
            <v>40.950000000000003</v>
          </cell>
          <cell r="CT9">
            <v>41.08</v>
          </cell>
          <cell r="CU9">
            <v>41.19</v>
          </cell>
          <cell r="CV9">
            <v>41.31</v>
          </cell>
          <cell r="CW9">
            <v>41.55</v>
          </cell>
          <cell r="CX9">
            <v>42.1</v>
          </cell>
          <cell r="CY9">
            <v>42.6</v>
          </cell>
          <cell r="CZ9">
            <v>42.84</v>
          </cell>
          <cell r="DA9">
            <v>42.98</v>
          </cell>
          <cell r="DB9">
            <v>43.12</v>
          </cell>
          <cell r="DC9">
            <v>43.24</v>
          </cell>
          <cell r="DD9">
            <v>43.37</v>
          </cell>
          <cell r="DE9">
            <v>43.51</v>
          </cell>
          <cell r="DF9">
            <v>43.63</v>
          </cell>
          <cell r="DG9">
            <v>43.77</v>
          </cell>
          <cell r="DH9">
            <v>43.89</v>
          </cell>
          <cell r="DI9">
            <v>43.99</v>
          </cell>
          <cell r="DJ9">
            <v>43.99</v>
          </cell>
          <cell r="DK9">
            <v>44.1</v>
          </cell>
          <cell r="DL9">
            <v>44.2</v>
          </cell>
          <cell r="DM9">
            <v>44.3</v>
          </cell>
          <cell r="DN9">
            <v>44.41</v>
          </cell>
          <cell r="DO9">
            <v>44.51</v>
          </cell>
          <cell r="DP9">
            <v>44.61</v>
          </cell>
          <cell r="DQ9">
            <v>44.7</v>
          </cell>
          <cell r="DR9">
            <v>44.8</v>
          </cell>
          <cell r="DS9">
            <v>44.9</v>
          </cell>
          <cell r="DT9">
            <v>45.01</v>
          </cell>
          <cell r="DU9">
            <v>45.11</v>
          </cell>
          <cell r="DV9">
            <v>45.22</v>
          </cell>
          <cell r="DW9">
            <v>45.3</v>
          </cell>
          <cell r="DX9">
            <v>45.38</v>
          </cell>
          <cell r="DY9">
            <v>45.47</v>
          </cell>
          <cell r="DZ9">
            <v>45.6</v>
          </cell>
          <cell r="EA9">
            <v>45.886000000000003</v>
          </cell>
          <cell r="EB9">
            <v>46.1</v>
          </cell>
          <cell r="EC9">
            <v>46.25</v>
          </cell>
          <cell r="ED9">
            <v>46.39</v>
          </cell>
          <cell r="EE9">
            <v>45.756</v>
          </cell>
          <cell r="EF9">
            <v>45.946460000000002</v>
          </cell>
          <cell r="EG9">
            <v>46.5</v>
          </cell>
          <cell r="EH9">
            <v>45.510000000000005</v>
          </cell>
          <cell r="EI9">
            <v>47.99</v>
          </cell>
          <cell r="EJ9">
            <v>48.13</v>
          </cell>
          <cell r="EK9">
            <v>48.28</v>
          </cell>
          <cell r="EL9">
            <v>48.35</v>
          </cell>
          <cell r="EM9">
            <v>48.8</v>
          </cell>
          <cell r="EN9">
            <v>49.21</v>
          </cell>
          <cell r="EO9">
            <v>49.75</v>
          </cell>
          <cell r="EP9">
            <v>50.26</v>
          </cell>
          <cell r="EQ9">
            <v>50.4</v>
          </cell>
          <cell r="ER9">
            <v>50.53</v>
          </cell>
          <cell r="ES9">
            <v>50.63</v>
          </cell>
          <cell r="ET9">
            <v>51.16</v>
          </cell>
          <cell r="EU9">
            <v>51.61</v>
          </cell>
          <cell r="EV9">
            <v>52.13</v>
          </cell>
          <cell r="EW9">
            <v>52.47</v>
          </cell>
          <cell r="EX9">
            <v>52.59</v>
          </cell>
          <cell r="EY9">
            <v>52.71</v>
          </cell>
          <cell r="EZ9">
            <v>52.83</v>
          </cell>
          <cell r="FA9">
            <v>53.32</v>
          </cell>
          <cell r="FB9">
            <v>53.86</v>
          </cell>
          <cell r="FC9">
            <v>54.33</v>
          </cell>
          <cell r="FD9">
            <v>54.69</v>
          </cell>
          <cell r="FE9">
            <v>54.82</v>
          </cell>
          <cell r="FF9">
            <v>54.93</v>
          </cell>
          <cell r="FG9">
            <v>55.06</v>
          </cell>
          <cell r="FH9">
            <v>55.52</v>
          </cell>
          <cell r="FI9">
            <v>55.83</v>
          </cell>
          <cell r="FJ9">
            <v>56.3</v>
          </cell>
          <cell r="FK9">
            <v>56.66</v>
          </cell>
          <cell r="FL9">
            <v>56.79</v>
          </cell>
          <cell r="FM9">
            <v>56.83</v>
          </cell>
          <cell r="FN9">
            <v>56.91</v>
          </cell>
          <cell r="FO9">
            <v>57.16</v>
          </cell>
          <cell r="FP9">
            <v>57.59</v>
          </cell>
          <cell r="FQ9">
            <v>58.05</v>
          </cell>
          <cell r="FR9">
            <v>58.33</v>
          </cell>
          <cell r="FS9">
            <v>58.46</v>
          </cell>
          <cell r="FT9">
            <v>58.57</v>
          </cell>
          <cell r="FU9">
            <v>58.69</v>
          </cell>
          <cell r="FV9">
            <v>58.99</v>
          </cell>
          <cell r="FW9">
            <v>59.51</v>
          </cell>
          <cell r="FX9">
            <v>59.99</v>
          </cell>
          <cell r="FY9">
            <v>60.43</v>
          </cell>
          <cell r="FZ9">
            <v>60.58</v>
          </cell>
          <cell r="GA9">
            <v>60.73</v>
          </cell>
          <cell r="GB9">
            <v>60.87</v>
          </cell>
          <cell r="GC9">
            <v>61.17</v>
          </cell>
          <cell r="GD9">
            <v>61.59</v>
          </cell>
          <cell r="GE9">
            <v>62.06</v>
          </cell>
          <cell r="GF9">
            <v>62.5</v>
          </cell>
          <cell r="GG9">
            <v>62.89</v>
          </cell>
          <cell r="GH9">
            <v>63.05</v>
          </cell>
          <cell r="GI9">
            <v>63.14</v>
          </cell>
          <cell r="GJ9">
            <v>63.38</v>
          </cell>
          <cell r="GK9">
            <v>63.8</v>
          </cell>
          <cell r="GL9">
            <v>64.3</v>
          </cell>
          <cell r="GM9">
            <v>64.66</v>
          </cell>
          <cell r="GN9">
            <v>64.89</v>
          </cell>
          <cell r="GO9">
            <v>65.040000000000006</v>
          </cell>
          <cell r="GP9">
            <v>65.17</v>
          </cell>
          <cell r="GQ9">
            <v>65.53</v>
          </cell>
          <cell r="GR9">
            <v>65.930000000000007</v>
          </cell>
          <cell r="GS9">
            <v>66.39</v>
          </cell>
          <cell r="GT9">
            <v>66.849999999999994</v>
          </cell>
          <cell r="GU9">
            <v>67.2</v>
          </cell>
          <cell r="GV9">
            <v>67.349999999999994</v>
          </cell>
          <cell r="GW9">
            <v>67.48</v>
          </cell>
          <cell r="GX9">
            <v>67.97</v>
          </cell>
          <cell r="GY9">
            <v>68.41</v>
          </cell>
          <cell r="GZ9">
            <v>68.900000000000006</v>
          </cell>
          <cell r="HA9">
            <v>69.37</v>
          </cell>
          <cell r="HB9">
            <v>69.83</v>
          </cell>
          <cell r="HC9">
            <v>69.98</v>
          </cell>
          <cell r="HD9">
            <v>70.099999999999994</v>
          </cell>
          <cell r="HE9">
            <v>70.63</v>
          </cell>
          <cell r="HF9">
            <v>71.09</v>
          </cell>
          <cell r="HG9">
            <v>71.55</v>
          </cell>
          <cell r="HH9">
            <v>72.05</v>
          </cell>
          <cell r="HI9">
            <v>72.37</v>
          </cell>
          <cell r="HJ9">
            <v>72.510000000000005</v>
          </cell>
          <cell r="HK9">
            <v>72.650000000000006</v>
          </cell>
          <cell r="HL9">
            <v>73.099000000000004</v>
          </cell>
          <cell r="HM9">
            <v>73.52</v>
          </cell>
          <cell r="HN9">
            <v>74</v>
          </cell>
          <cell r="HO9">
            <v>74.47</v>
          </cell>
          <cell r="HP9">
            <v>74.88</v>
          </cell>
          <cell r="HQ9">
            <v>75</v>
          </cell>
          <cell r="HR9">
            <v>75.14</v>
          </cell>
          <cell r="HS9">
            <v>75.3</v>
          </cell>
          <cell r="HT9">
            <v>75.69</v>
          </cell>
          <cell r="HU9">
            <v>76.17</v>
          </cell>
          <cell r="HV9">
            <v>76.650000000000006</v>
          </cell>
          <cell r="HW9">
            <v>77.13</v>
          </cell>
          <cell r="HX9">
            <v>77.28</v>
          </cell>
          <cell r="HY9">
            <v>77.400000000000006</v>
          </cell>
          <cell r="HZ9">
            <v>77.58</v>
          </cell>
          <cell r="IA9">
            <v>77.989999999999995</v>
          </cell>
          <cell r="IB9">
            <v>78.040000000000006</v>
          </cell>
          <cell r="IC9">
            <v>78.540000000000006</v>
          </cell>
          <cell r="ID9">
            <v>78.959999999999994</v>
          </cell>
          <cell r="IE9">
            <v>79.11</v>
          </cell>
          <cell r="IF9">
            <v>79.23</v>
          </cell>
          <cell r="IG9">
            <v>79.650000000000006</v>
          </cell>
          <cell r="IH9">
            <v>80.069999999999993</v>
          </cell>
          <cell r="II9">
            <v>80.61</v>
          </cell>
          <cell r="IJ9">
            <v>81.14</v>
          </cell>
          <cell r="IK9">
            <v>81.680000000000007</v>
          </cell>
          <cell r="IL9">
            <v>81.83</v>
          </cell>
          <cell r="IM9">
            <v>81.97</v>
          </cell>
          <cell r="IN9">
            <v>82.84</v>
          </cell>
          <cell r="IO9">
            <v>83.69</v>
          </cell>
          <cell r="IP9">
            <v>84.08</v>
          </cell>
          <cell r="IQ9">
            <v>84.68</v>
          </cell>
          <cell r="IR9">
            <v>85.23</v>
          </cell>
          <cell r="IS9">
            <v>85.42</v>
          </cell>
          <cell r="IT9">
            <v>85.55</v>
          </cell>
          <cell r="IU9">
            <v>86.27</v>
          </cell>
          <cell r="IV9">
            <v>87.11</v>
          </cell>
          <cell r="IW9">
            <v>87.92</v>
          </cell>
          <cell r="IX9">
            <v>88.72</v>
          </cell>
          <cell r="IY9">
            <v>89.15</v>
          </cell>
          <cell r="IZ9">
            <v>89.28</v>
          </cell>
          <cell r="JA9">
            <v>89.4</v>
          </cell>
          <cell r="JB9">
            <v>89.4</v>
          </cell>
          <cell r="JC9">
            <v>89.91</v>
          </cell>
          <cell r="JD9">
            <v>90.47</v>
          </cell>
          <cell r="JE9">
            <v>91.01</v>
          </cell>
          <cell r="JF9">
            <v>91.15</v>
          </cell>
          <cell r="JG9">
            <v>91.29</v>
          </cell>
          <cell r="JH9">
            <v>91.41</v>
          </cell>
          <cell r="JI9">
            <v>91.56</v>
          </cell>
          <cell r="JJ9">
            <v>91.68</v>
          </cell>
          <cell r="JK9">
            <v>91.8</v>
          </cell>
          <cell r="JL9">
            <v>91.92</v>
          </cell>
          <cell r="JM9">
            <v>92.04</v>
          </cell>
          <cell r="JN9">
            <v>92.13000000000001</v>
          </cell>
          <cell r="JO9">
            <v>92.28</v>
          </cell>
          <cell r="JP9">
            <v>92.66</v>
          </cell>
          <cell r="JQ9">
            <v>93.02</v>
          </cell>
          <cell r="JR9">
            <v>93.47</v>
          </cell>
          <cell r="JS9">
            <v>93.87</v>
          </cell>
          <cell r="JT9">
            <v>94.26</v>
          </cell>
          <cell r="JU9">
            <v>94.39</v>
          </cell>
          <cell r="JV9">
            <v>95.29</v>
          </cell>
          <cell r="JW9">
            <v>94.95</v>
          </cell>
          <cell r="JX9">
            <v>95.39</v>
          </cell>
          <cell r="JY9">
            <v>95.84</v>
          </cell>
          <cell r="JZ9">
            <v>96.34</v>
          </cell>
          <cell r="KA9">
            <v>96.95</v>
          </cell>
          <cell r="KB9">
            <v>97.27</v>
          </cell>
          <cell r="KC9">
            <v>97.39</v>
          </cell>
          <cell r="KD9">
            <v>97.91</v>
          </cell>
          <cell r="KE9">
            <v>98.47</v>
          </cell>
          <cell r="KF9">
            <v>99.06</v>
          </cell>
          <cell r="KG9">
            <v>99.62</v>
          </cell>
          <cell r="KH9">
            <v>99.7</v>
          </cell>
          <cell r="KI9">
            <v>99.75</v>
          </cell>
          <cell r="KJ9">
            <v>99.88</v>
          </cell>
          <cell r="KK9">
            <v>100.43</v>
          </cell>
          <cell r="KL9">
            <v>100.97</v>
          </cell>
          <cell r="KM9">
            <v>101.46</v>
          </cell>
          <cell r="KN9">
            <v>102.02</v>
          </cell>
          <cell r="KO9">
            <v>102.29</v>
          </cell>
          <cell r="KP9">
            <v>102.39</v>
          </cell>
          <cell r="KQ9">
            <v>102.46</v>
          </cell>
          <cell r="KR9">
            <v>102.97</v>
          </cell>
          <cell r="KS9">
            <v>103.55</v>
          </cell>
          <cell r="KT9">
            <v>104.036</v>
          </cell>
          <cell r="KU9">
            <v>104.18</v>
          </cell>
          <cell r="KV9">
            <v>104.39</v>
          </cell>
          <cell r="KW9">
            <v>104.54</v>
          </cell>
          <cell r="KX9">
            <v>104.68</v>
          </cell>
          <cell r="KY9">
            <v>105.18</v>
          </cell>
          <cell r="KZ9">
            <v>105.63</v>
          </cell>
          <cell r="LA9">
            <v>106.12</v>
          </cell>
          <cell r="LB9">
            <v>106.7</v>
          </cell>
          <cell r="LC9">
            <v>107.08</v>
          </cell>
          <cell r="LD9">
            <v>107.24</v>
          </cell>
          <cell r="LE9">
            <v>107.11</v>
          </cell>
          <cell r="LF9">
            <v>107.93</v>
          </cell>
          <cell r="LG9">
            <v>108.43</v>
          </cell>
          <cell r="LH9">
            <v>108.88</v>
          </cell>
          <cell r="LI9">
            <v>109.42</v>
          </cell>
          <cell r="LJ9">
            <v>109.76</v>
          </cell>
          <cell r="LK9">
            <v>109.93</v>
          </cell>
          <cell r="LL9">
            <v>110.06</v>
          </cell>
          <cell r="LM9">
            <v>110.7</v>
          </cell>
          <cell r="LN9">
            <v>111.3</v>
          </cell>
          <cell r="LO9">
            <v>111.85</v>
          </cell>
          <cell r="LP9">
            <v>112.14</v>
          </cell>
          <cell r="LQ9">
            <v>112.28</v>
          </cell>
          <cell r="LR9">
            <v>112.41</v>
          </cell>
          <cell r="LS9">
            <v>112.56</v>
          </cell>
          <cell r="LT9">
            <v>113.13</v>
          </cell>
          <cell r="LU9">
            <v>113.71</v>
          </cell>
          <cell r="LV9">
            <v>114.23</v>
          </cell>
          <cell r="LW9">
            <v>114.65</v>
          </cell>
          <cell r="LX9">
            <v>114.85</v>
          </cell>
          <cell r="LY9">
            <v>115.01</v>
          </cell>
          <cell r="LZ9">
            <v>115.13</v>
          </cell>
          <cell r="MA9">
            <v>115.35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</row>
        <row r="10">
          <cell r="A10" t="str">
            <v>sd 42</v>
          </cell>
          <cell r="B10">
            <v>27.08</v>
          </cell>
          <cell r="C10">
            <v>27.18</v>
          </cell>
          <cell r="D10">
            <v>27.3</v>
          </cell>
          <cell r="E10">
            <v>27.43</v>
          </cell>
          <cell r="F10">
            <v>27.55</v>
          </cell>
          <cell r="G10">
            <v>27.68</v>
          </cell>
          <cell r="H10">
            <v>27.8</v>
          </cell>
          <cell r="I10">
            <v>27.92</v>
          </cell>
          <cell r="J10">
            <v>28.56</v>
          </cell>
          <cell r="K10">
            <v>29.32</v>
          </cell>
          <cell r="L10">
            <v>30.07</v>
          </cell>
          <cell r="M10">
            <v>30.52</v>
          </cell>
          <cell r="N10">
            <v>30.65</v>
          </cell>
          <cell r="O10">
            <v>30.78</v>
          </cell>
          <cell r="P10">
            <v>30.9</v>
          </cell>
          <cell r="Q10">
            <v>31.05</v>
          </cell>
          <cell r="R10">
            <v>31.8</v>
          </cell>
          <cell r="S10">
            <v>32.58</v>
          </cell>
          <cell r="T10">
            <v>33.14</v>
          </cell>
          <cell r="U10">
            <v>33.25</v>
          </cell>
          <cell r="V10">
            <v>33.36</v>
          </cell>
          <cell r="W10">
            <v>33.479999999999997</v>
          </cell>
          <cell r="X10">
            <v>34.4</v>
          </cell>
          <cell r="Y10">
            <v>35.32</v>
          </cell>
          <cell r="Z10">
            <v>36.22</v>
          </cell>
          <cell r="AA10">
            <v>36.72</v>
          </cell>
          <cell r="AB10">
            <v>36.83</v>
          </cell>
          <cell r="AC10">
            <v>36.94</v>
          </cell>
          <cell r="AD10">
            <v>37.06</v>
          </cell>
          <cell r="AE10">
            <v>37.25</v>
          </cell>
          <cell r="AF10">
            <v>38.130000000000003</v>
          </cell>
          <cell r="AG10">
            <v>39.08</v>
          </cell>
          <cell r="AH10">
            <v>40.08</v>
          </cell>
          <cell r="AI10">
            <v>40.97</v>
          </cell>
          <cell r="AJ10">
            <v>41.16</v>
          </cell>
          <cell r="AK10">
            <v>41.27</v>
          </cell>
          <cell r="AL10">
            <v>41.4</v>
          </cell>
          <cell r="AM10">
            <v>42.18</v>
          </cell>
          <cell r="AN10">
            <v>43</v>
          </cell>
          <cell r="AO10">
            <v>43.26</v>
          </cell>
          <cell r="AP10">
            <v>43.47</v>
          </cell>
          <cell r="AQ10">
            <v>43.59</v>
          </cell>
          <cell r="AR10">
            <v>43.7</v>
          </cell>
          <cell r="AS10">
            <v>44.42</v>
          </cell>
          <cell r="AT10">
            <v>45.22</v>
          </cell>
          <cell r="AU10">
            <v>46.02</v>
          </cell>
          <cell r="AV10">
            <v>46.24</v>
          </cell>
          <cell r="AW10">
            <v>46.36</v>
          </cell>
          <cell r="AX10">
            <v>46.47</v>
          </cell>
          <cell r="AY10">
            <v>46.59</v>
          </cell>
          <cell r="AZ10">
            <v>47.33</v>
          </cell>
          <cell r="BA10">
            <v>48.27</v>
          </cell>
          <cell r="BB10">
            <v>49.27</v>
          </cell>
          <cell r="BC10">
            <v>49.66</v>
          </cell>
          <cell r="BD10">
            <v>49.95</v>
          </cell>
          <cell r="BE10">
            <v>50.1</v>
          </cell>
          <cell r="BF10">
            <v>50.25</v>
          </cell>
          <cell r="BG10">
            <v>51.14</v>
          </cell>
          <cell r="BH10">
            <v>52.15</v>
          </cell>
          <cell r="BI10">
            <v>53.01</v>
          </cell>
          <cell r="BJ10">
            <v>53.14</v>
          </cell>
          <cell r="BK10">
            <v>53.27</v>
          </cell>
          <cell r="BL10">
            <v>53.39</v>
          </cell>
          <cell r="BM10">
            <v>53.51</v>
          </cell>
          <cell r="BN10">
            <v>53.77</v>
          </cell>
          <cell r="BO10">
            <v>54.51</v>
          </cell>
          <cell r="BP10">
            <v>55.25</v>
          </cell>
          <cell r="BQ10">
            <v>33.96</v>
          </cell>
          <cell r="BR10">
            <v>56.13</v>
          </cell>
          <cell r="BS10">
            <v>56.25</v>
          </cell>
          <cell r="BT10">
            <v>56.37</v>
          </cell>
          <cell r="BU10">
            <v>57.29</v>
          </cell>
          <cell r="BV10">
            <v>58.22</v>
          </cell>
          <cell r="BW10">
            <v>59.16</v>
          </cell>
          <cell r="BX10">
            <v>589.89</v>
          </cell>
          <cell r="BY10">
            <v>60.02</v>
          </cell>
          <cell r="BZ10">
            <v>60.16</v>
          </cell>
          <cell r="CA10">
            <v>60.3</v>
          </cell>
          <cell r="CB10">
            <v>60.45</v>
          </cell>
          <cell r="CC10">
            <v>61.44</v>
          </cell>
          <cell r="CD10">
            <v>61.75</v>
          </cell>
          <cell r="CE10">
            <v>61.95</v>
          </cell>
          <cell r="CF10">
            <v>62.19</v>
          </cell>
          <cell r="CG10">
            <v>62.31</v>
          </cell>
          <cell r="CH10">
            <v>62.43</v>
          </cell>
          <cell r="CI10">
            <v>62.55</v>
          </cell>
          <cell r="CJ10">
            <v>62.69</v>
          </cell>
          <cell r="CK10">
            <v>62.82</v>
          </cell>
          <cell r="CL10">
            <v>63.01</v>
          </cell>
          <cell r="CM10">
            <v>63.14</v>
          </cell>
          <cell r="CN10">
            <v>63.27</v>
          </cell>
          <cell r="CO10">
            <v>63.38</v>
          </cell>
          <cell r="CP10">
            <v>63.6</v>
          </cell>
          <cell r="CQ10">
            <v>64.239999999999995</v>
          </cell>
          <cell r="CR10">
            <v>64.849999999999994</v>
          </cell>
          <cell r="CS10">
            <v>65.599999999999994</v>
          </cell>
          <cell r="CT10">
            <v>66.38</v>
          </cell>
          <cell r="CU10">
            <v>66.44</v>
          </cell>
          <cell r="CV10">
            <v>66.55</v>
          </cell>
          <cell r="CW10">
            <v>66.84</v>
          </cell>
          <cell r="CX10">
            <v>67.819999999999993</v>
          </cell>
          <cell r="CY10">
            <v>68.77</v>
          </cell>
          <cell r="CZ10">
            <v>69.680000000000007</v>
          </cell>
          <cell r="DA10">
            <v>70.400000000000006</v>
          </cell>
          <cell r="DB10">
            <v>70.56</v>
          </cell>
          <cell r="DC10">
            <v>70.680000000000007</v>
          </cell>
          <cell r="DD10">
            <v>70.91</v>
          </cell>
          <cell r="DE10">
            <v>71.05</v>
          </cell>
          <cell r="DF10">
            <v>71.180000000000007</v>
          </cell>
          <cell r="DG10">
            <v>71.319999999999993</v>
          </cell>
          <cell r="DH10">
            <v>71.430000000000007</v>
          </cell>
          <cell r="DI10">
            <v>71.55</v>
          </cell>
          <cell r="DJ10">
            <v>71.55</v>
          </cell>
          <cell r="DK10">
            <v>72.5</v>
          </cell>
          <cell r="DL10">
            <v>73.47</v>
          </cell>
          <cell r="DM10">
            <v>74.47</v>
          </cell>
          <cell r="DN10">
            <v>75.53</v>
          </cell>
          <cell r="DO10">
            <v>76.23</v>
          </cell>
          <cell r="DP10">
            <v>76.38</v>
          </cell>
          <cell r="DQ10">
            <v>76.510000000000005</v>
          </cell>
          <cell r="DR10">
            <v>77.56</v>
          </cell>
          <cell r="DS10">
            <v>78.44</v>
          </cell>
          <cell r="DT10">
            <v>78.83</v>
          </cell>
          <cell r="DU10">
            <v>79.69</v>
          </cell>
          <cell r="DV10">
            <v>80.56</v>
          </cell>
          <cell r="DW10">
            <v>80.69</v>
          </cell>
          <cell r="DX10">
            <v>80.8</v>
          </cell>
          <cell r="DY10">
            <v>80.94</v>
          </cell>
          <cell r="DZ10">
            <v>81.459999999999994</v>
          </cell>
          <cell r="EA10">
            <v>82.04</v>
          </cell>
          <cell r="EB10">
            <v>82.84</v>
          </cell>
          <cell r="EC10">
            <v>83.67</v>
          </cell>
          <cell r="ED10">
            <v>83.98</v>
          </cell>
          <cell r="EE10">
            <v>81.52000000000001</v>
          </cell>
          <cell r="EF10">
            <v>82.232000000000014</v>
          </cell>
          <cell r="EG10">
            <v>84.13</v>
          </cell>
          <cell r="EH10">
            <v>81.319999999999993</v>
          </cell>
          <cell r="EI10">
            <v>87.23</v>
          </cell>
          <cell r="EJ10">
            <v>88</v>
          </cell>
          <cell r="EK10">
            <v>88.16</v>
          </cell>
          <cell r="EL10">
            <v>88.26</v>
          </cell>
          <cell r="EM10">
            <v>89.03</v>
          </cell>
          <cell r="EN10">
            <v>89.81</v>
          </cell>
          <cell r="EO10">
            <v>90.54</v>
          </cell>
          <cell r="EP10">
            <v>91.25</v>
          </cell>
          <cell r="EQ10">
            <v>91.48</v>
          </cell>
          <cell r="ER10">
            <v>91.65</v>
          </cell>
          <cell r="ES10">
            <v>91.77</v>
          </cell>
          <cell r="ET10">
            <v>92.09</v>
          </cell>
          <cell r="EU10">
            <v>92.87</v>
          </cell>
          <cell r="EV10">
            <v>93.81</v>
          </cell>
          <cell r="EW10">
            <v>94.9</v>
          </cell>
          <cell r="EX10">
            <v>95.31</v>
          </cell>
          <cell r="EY10">
            <v>95.44</v>
          </cell>
          <cell r="EZ10">
            <v>95.61</v>
          </cell>
          <cell r="FA10">
            <v>96.55</v>
          </cell>
          <cell r="FB10">
            <v>97.47</v>
          </cell>
          <cell r="FC10">
            <v>98.15</v>
          </cell>
          <cell r="FD10">
            <v>98.27</v>
          </cell>
          <cell r="FE10">
            <v>98.4</v>
          </cell>
          <cell r="FF10">
            <v>98.52</v>
          </cell>
          <cell r="FG10">
            <v>98.63</v>
          </cell>
          <cell r="FH10">
            <v>98.76</v>
          </cell>
          <cell r="FI10">
            <v>98.88</v>
          </cell>
          <cell r="FJ10">
            <v>99.15</v>
          </cell>
          <cell r="FK10">
            <v>99.4</v>
          </cell>
          <cell r="FL10">
            <v>99.53</v>
          </cell>
          <cell r="FM10">
            <v>99.56</v>
          </cell>
          <cell r="FN10">
            <v>99.62</v>
          </cell>
          <cell r="FO10">
            <v>99.75</v>
          </cell>
          <cell r="FP10">
            <v>99.87</v>
          </cell>
          <cell r="FQ10">
            <v>99.99</v>
          </cell>
          <cell r="FR10">
            <v>100.34</v>
          </cell>
          <cell r="FS10">
            <v>100.65</v>
          </cell>
          <cell r="FT10">
            <v>100.77</v>
          </cell>
          <cell r="FU10">
            <v>100.89</v>
          </cell>
          <cell r="FV10">
            <v>101.09</v>
          </cell>
          <cell r="FW10">
            <v>101.76</v>
          </cell>
          <cell r="FX10">
            <v>102.46</v>
          </cell>
          <cell r="FY10">
            <v>103.11</v>
          </cell>
          <cell r="FZ10">
            <v>103.82</v>
          </cell>
          <cell r="GA10">
            <v>104.28</v>
          </cell>
          <cell r="GB10">
            <v>104.41</v>
          </cell>
          <cell r="GC10">
            <v>105.16</v>
          </cell>
          <cell r="GD10">
            <v>105.55</v>
          </cell>
          <cell r="GE10">
            <v>106.47</v>
          </cell>
          <cell r="GF10">
            <v>107.47</v>
          </cell>
          <cell r="GG10">
            <v>108.17</v>
          </cell>
          <cell r="GH10">
            <v>108.32</v>
          </cell>
          <cell r="GI10">
            <v>108.41</v>
          </cell>
          <cell r="GJ10">
            <v>108.61</v>
          </cell>
          <cell r="GK10">
            <v>109.6</v>
          </cell>
          <cell r="GL10">
            <v>110.55</v>
          </cell>
          <cell r="GM10">
            <v>111.51</v>
          </cell>
          <cell r="GN10">
            <v>111.82</v>
          </cell>
          <cell r="GO10">
            <v>111.97</v>
          </cell>
          <cell r="GP10">
            <v>112.12</v>
          </cell>
          <cell r="GQ10">
            <v>113.1</v>
          </cell>
          <cell r="GR10">
            <v>113.94</v>
          </cell>
          <cell r="GS10">
            <v>114.58</v>
          </cell>
          <cell r="GT10">
            <v>114.72</v>
          </cell>
          <cell r="GU10">
            <v>114.86</v>
          </cell>
          <cell r="GV10">
            <v>115</v>
          </cell>
          <cell r="GW10">
            <v>115.12</v>
          </cell>
          <cell r="GX10">
            <v>115.39</v>
          </cell>
          <cell r="GY10">
            <v>116.19</v>
          </cell>
          <cell r="GZ10">
            <v>117.05</v>
          </cell>
          <cell r="HA10">
            <v>117.95</v>
          </cell>
          <cell r="HB10">
            <v>118.79</v>
          </cell>
          <cell r="HC10">
            <v>118.95</v>
          </cell>
          <cell r="HD10">
            <v>119.06</v>
          </cell>
          <cell r="HE10">
            <v>119.28</v>
          </cell>
          <cell r="HF10">
            <v>120.02</v>
          </cell>
          <cell r="HG10">
            <v>120.66</v>
          </cell>
          <cell r="HH10">
            <v>121.42</v>
          </cell>
          <cell r="HI10">
            <v>121.76</v>
          </cell>
          <cell r="HJ10">
            <v>121.9</v>
          </cell>
          <cell r="HK10">
            <v>122.03</v>
          </cell>
          <cell r="HL10">
            <v>122.61</v>
          </cell>
          <cell r="HM10">
            <v>123.37</v>
          </cell>
          <cell r="HN10">
            <v>123.99</v>
          </cell>
          <cell r="HO10">
            <v>124.68</v>
          </cell>
          <cell r="HP10">
            <v>125.35</v>
          </cell>
          <cell r="HQ10">
            <v>125.47</v>
          </cell>
          <cell r="HR10">
            <v>125.61</v>
          </cell>
          <cell r="HS10">
            <v>125.83</v>
          </cell>
          <cell r="HT10">
            <v>126.64</v>
          </cell>
          <cell r="HU10">
            <v>127.39</v>
          </cell>
          <cell r="HV10">
            <v>129.77000000000001</v>
          </cell>
          <cell r="HW10">
            <v>128.13</v>
          </cell>
          <cell r="HX10">
            <v>128.28</v>
          </cell>
          <cell r="HY10">
            <v>128.38999999999999</v>
          </cell>
          <cell r="HZ10">
            <v>128.62</v>
          </cell>
          <cell r="IA10">
            <v>129.46</v>
          </cell>
          <cell r="IB10">
            <v>129.58000000000001</v>
          </cell>
          <cell r="IC10">
            <v>130.44999999999999</v>
          </cell>
          <cell r="ID10">
            <v>131.33000000000001</v>
          </cell>
          <cell r="IE10">
            <v>131.72999999999999</v>
          </cell>
          <cell r="IF10">
            <v>131.86000000000001</v>
          </cell>
          <cell r="IG10">
            <v>132.65</v>
          </cell>
          <cell r="IH10">
            <v>133.53</v>
          </cell>
          <cell r="II10">
            <v>134.13</v>
          </cell>
          <cell r="IJ10">
            <v>135.06</v>
          </cell>
          <cell r="IK10">
            <v>135.88</v>
          </cell>
          <cell r="IL10">
            <v>136.31</v>
          </cell>
          <cell r="IM10">
            <v>136.44999999999999</v>
          </cell>
          <cell r="IN10">
            <v>137.36000000000001</v>
          </cell>
          <cell r="IO10">
            <v>138.03</v>
          </cell>
          <cell r="IP10">
            <v>138.31</v>
          </cell>
          <cell r="IQ10">
            <v>138.87</v>
          </cell>
          <cell r="IR10">
            <v>139.44</v>
          </cell>
          <cell r="IS10">
            <v>139.72999999999999</v>
          </cell>
          <cell r="IT10">
            <v>139.83000000000001</v>
          </cell>
          <cell r="IU10">
            <v>140.57</v>
          </cell>
          <cell r="IV10">
            <v>141.32</v>
          </cell>
          <cell r="IW10">
            <v>142.05000000000001</v>
          </cell>
          <cell r="IX10">
            <v>142.68</v>
          </cell>
          <cell r="IY10">
            <v>143.44</v>
          </cell>
          <cell r="IZ10">
            <v>143.55000000000001</v>
          </cell>
          <cell r="JA10">
            <v>143.66</v>
          </cell>
          <cell r="JB10">
            <v>143.66</v>
          </cell>
          <cell r="JC10">
            <v>144.51</v>
          </cell>
          <cell r="JD10">
            <v>145.33000000000001</v>
          </cell>
          <cell r="JE10">
            <v>146.07</v>
          </cell>
          <cell r="JF10">
            <v>146.63999999999999</v>
          </cell>
          <cell r="JG10">
            <v>16.77</v>
          </cell>
          <cell r="JH10">
            <v>146.88</v>
          </cell>
          <cell r="JI10">
            <v>147.12</v>
          </cell>
          <cell r="JJ10">
            <v>147.26</v>
          </cell>
          <cell r="JK10">
            <v>148.16999999999999</v>
          </cell>
          <cell r="JL10">
            <v>148.93</v>
          </cell>
          <cell r="JM10">
            <v>149.08000000000001</v>
          </cell>
          <cell r="JN10">
            <v>149.22</v>
          </cell>
          <cell r="JO10">
            <v>149.37</v>
          </cell>
          <cell r="JP10">
            <v>149.5</v>
          </cell>
          <cell r="JQ10">
            <v>149.65</v>
          </cell>
          <cell r="JR10">
            <v>149.78</v>
          </cell>
          <cell r="JS10">
            <v>149.91</v>
          </cell>
          <cell r="JT10">
            <v>150.09</v>
          </cell>
          <cell r="JU10">
            <v>150.21</v>
          </cell>
          <cell r="JV10">
            <v>150.34</v>
          </cell>
          <cell r="JW10">
            <v>150.84</v>
          </cell>
          <cell r="JX10">
            <v>151.31</v>
          </cell>
          <cell r="JY10">
            <v>151.75</v>
          </cell>
          <cell r="JZ10">
            <v>152.12</v>
          </cell>
          <cell r="KA10">
            <v>152.24</v>
          </cell>
          <cell r="KB10">
            <v>152.36000000000001</v>
          </cell>
          <cell r="KC10">
            <v>152.44999999999999</v>
          </cell>
          <cell r="KD10">
            <v>152.61000000000001</v>
          </cell>
          <cell r="KE10">
            <v>152.85</v>
          </cell>
          <cell r="KF10">
            <v>153.47999999999999</v>
          </cell>
          <cell r="KG10">
            <v>154.01</v>
          </cell>
          <cell r="KH10">
            <v>154.19999999999999</v>
          </cell>
          <cell r="KI10">
            <v>154.43</v>
          </cell>
          <cell r="KJ10">
            <v>154.55000000000001</v>
          </cell>
          <cell r="KK10">
            <v>154.82</v>
          </cell>
          <cell r="KL10">
            <v>155.33000000000001</v>
          </cell>
          <cell r="KM10">
            <v>155.84</v>
          </cell>
          <cell r="KN10">
            <v>156.47</v>
          </cell>
          <cell r="KO10">
            <v>156.75</v>
          </cell>
          <cell r="KP10">
            <v>156.83000000000001</v>
          </cell>
          <cell r="KQ10">
            <v>156.91</v>
          </cell>
          <cell r="KR10">
            <v>157.04</v>
          </cell>
          <cell r="KS10">
            <v>157.85</v>
          </cell>
          <cell r="KT10">
            <v>158.28</v>
          </cell>
          <cell r="KU10">
            <v>158.47999999999999</v>
          </cell>
          <cell r="KV10">
            <v>158.6</v>
          </cell>
          <cell r="KW10">
            <v>158.72</v>
          </cell>
          <cell r="KX10">
            <v>158.83000000000001</v>
          </cell>
          <cell r="KY10">
            <v>159.08000000000001</v>
          </cell>
          <cell r="KZ10">
            <v>159.66</v>
          </cell>
          <cell r="LA10">
            <v>160.22</v>
          </cell>
          <cell r="LB10">
            <v>160.72</v>
          </cell>
          <cell r="LC10">
            <v>160.97999999999999</v>
          </cell>
          <cell r="LD10">
            <v>161.13</v>
          </cell>
          <cell r="LE10">
            <v>161.27000000000001</v>
          </cell>
          <cell r="LF10">
            <v>161.85</v>
          </cell>
          <cell r="LG10">
            <v>162.41</v>
          </cell>
          <cell r="LH10">
            <v>163.01</v>
          </cell>
          <cell r="LI10">
            <v>163.35</v>
          </cell>
          <cell r="LJ10">
            <v>163.66999999999999</v>
          </cell>
          <cell r="LK10">
            <v>163.83000000000001</v>
          </cell>
          <cell r="LL10">
            <v>163.94</v>
          </cell>
          <cell r="LM10">
            <v>164.1</v>
          </cell>
          <cell r="LN10">
            <v>164.58</v>
          </cell>
          <cell r="LO10">
            <v>165.03</v>
          </cell>
          <cell r="LP10">
            <v>165.59</v>
          </cell>
          <cell r="LQ10">
            <v>165.98</v>
          </cell>
          <cell r="LR10">
            <v>166.11</v>
          </cell>
          <cell r="LS10">
            <v>166.23</v>
          </cell>
          <cell r="LT10">
            <v>166.7</v>
          </cell>
          <cell r="LU10">
            <v>167.21</v>
          </cell>
          <cell r="LV10">
            <v>167.83</v>
          </cell>
          <cell r="LW10">
            <v>168.41</v>
          </cell>
          <cell r="LX10">
            <v>168.81</v>
          </cell>
          <cell r="LY10">
            <v>169.01</v>
          </cell>
          <cell r="LZ10">
            <v>169.15</v>
          </cell>
          <cell r="MA10">
            <v>169.61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</row>
        <row r="11">
          <cell r="A11" t="str">
            <v>sd 43 norte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19.95</v>
          </cell>
          <cell r="X11">
            <v>20.28</v>
          </cell>
          <cell r="Y11">
            <v>20.85</v>
          </cell>
          <cell r="Z11">
            <v>21.44</v>
          </cell>
          <cell r="AA11">
            <v>21.96</v>
          </cell>
          <cell r="AB11">
            <v>22.29</v>
          </cell>
          <cell r="AC11">
            <v>22.47</v>
          </cell>
          <cell r="AD11">
            <v>22.65</v>
          </cell>
          <cell r="AE11">
            <v>22.95</v>
          </cell>
          <cell r="AF11">
            <v>23.3</v>
          </cell>
          <cell r="AG11">
            <v>23.65</v>
          </cell>
          <cell r="AH11">
            <v>23.98</v>
          </cell>
          <cell r="AI11">
            <v>24.18</v>
          </cell>
          <cell r="AJ11">
            <v>24.34</v>
          </cell>
          <cell r="AK11">
            <v>24.49</v>
          </cell>
          <cell r="AL11">
            <v>24.65</v>
          </cell>
          <cell r="AM11">
            <v>25.11</v>
          </cell>
          <cell r="AN11">
            <v>25.53</v>
          </cell>
          <cell r="AO11">
            <v>25.78</v>
          </cell>
          <cell r="AP11">
            <v>25.94</v>
          </cell>
          <cell r="AQ11">
            <v>26.09</v>
          </cell>
          <cell r="AR11">
            <v>26.25</v>
          </cell>
          <cell r="AS11">
            <v>26.68</v>
          </cell>
          <cell r="AT11">
            <v>27.15</v>
          </cell>
          <cell r="AU11">
            <v>27.48</v>
          </cell>
          <cell r="AV11">
            <v>27.63</v>
          </cell>
          <cell r="AW11">
            <v>27.78</v>
          </cell>
          <cell r="AX11">
            <v>27.92</v>
          </cell>
          <cell r="AY11">
            <v>28.05</v>
          </cell>
          <cell r="AZ11">
            <v>28.24</v>
          </cell>
          <cell r="BA11">
            <v>28.56</v>
          </cell>
          <cell r="BB11">
            <v>28.98</v>
          </cell>
          <cell r="BC11">
            <v>29.15</v>
          </cell>
          <cell r="BD11">
            <v>29.32</v>
          </cell>
          <cell r="BE11">
            <v>29.48</v>
          </cell>
          <cell r="BF11">
            <v>29.65</v>
          </cell>
          <cell r="BG11">
            <v>29.97</v>
          </cell>
          <cell r="BH11">
            <v>30.42</v>
          </cell>
          <cell r="BI11">
            <v>30.81</v>
          </cell>
          <cell r="BJ11">
            <v>31.03</v>
          </cell>
          <cell r="BK11">
            <v>31.2</v>
          </cell>
          <cell r="BL11">
            <v>31.35</v>
          </cell>
          <cell r="BM11">
            <v>31.52</v>
          </cell>
          <cell r="BN11">
            <v>31.91</v>
          </cell>
          <cell r="BO11">
            <v>32.36</v>
          </cell>
          <cell r="BP11">
            <v>32.770000000000003</v>
          </cell>
          <cell r="BQ11">
            <v>33.08</v>
          </cell>
          <cell r="BR11">
            <v>33.25</v>
          </cell>
          <cell r="BS11">
            <v>33.4</v>
          </cell>
          <cell r="BT11">
            <v>33.56</v>
          </cell>
          <cell r="BU11">
            <v>34.01</v>
          </cell>
          <cell r="BV11">
            <v>34.43</v>
          </cell>
          <cell r="BW11">
            <v>34.9</v>
          </cell>
          <cell r="BX11">
            <v>35.31</v>
          </cell>
          <cell r="BY11">
            <v>35.71</v>
          </cell>
          <cell r="BZ11">
            <v>35.94</v>
          </cell>
          <cell r="CA11">
            <v>36.1</v>
          </cell>
          <cell r="CB11">
            <v>36.270000000000003</v>
          </cell>
          <cell r="CC11">
            <v>36.68</v>
          </cell>
          <cell r="CD11">
            <v>58.49</v>
          </cell>
          <cell r="CE11">
            <v>37.24</v>
          </cell>
          <cell r="CF11">
            <v>37.380000000000003</v>
          </cell>
          <cell r="CG11">
            <v>37.51</v>
          </cell>
          <cell r="CH11">
            <v>37.630000000000003</v>
          </cell>
          <cell r="CI11">
            <v>59.58</v>
          </cell>
          <cell r="CJ11">
            <v>38.229999999999997</v>
          </cell>
          <cell r="CK11">
            <v>38.4</v>
          </cell>
          <cell r="CL11">
            <v>38.56</v>
          </cell>
          <cell r="CM11">
            <v>38.69</v>
          </cell>
          <cell r="CN11">
            <v>38.83</v>
          </cell>
          <cell r="CO11">
            <v>38.96</v>
          </cell>
          <cell r="CP11">
            <v>39.26</v>
          </cell>
          <cell r="CQ11">
            <v>39.659999999999997</v>
          </cell>
          <cell r="CR11">
            <v>39.94</v>
          </cell>
          <cell r="CS11">
            <v>40.130000000000003</v>
          </cell>
          <cell r="CT11">
            <v>40.29</v>
          </cell>
          <cell r="CU11">
            <v>40.44</v>
          </cell>
          <cell r="CV11">
            <v>40.58</v>
          </cell>
          <cell r="CW11">
            <v>40.83</v>
          </cell>
          <cell r="CX11">
            <v>41.22</v>
          </cell>
          <cell r="CY11">
            <v>41.62</v>
          </cell>
          <cell r="CZ11">
            <v>42.04</v>
          </cell>
          <cell r="DA11">
            <v>42.33</v>
          </cell>
          <cell r="DB11">
            <v>42.55</v>
          </cell>
          <cell r="DC11">
            <v>42.71</v>
          </cell>
          <cell r="DD11">
            <v>42.88</v>
          </cell>
          <cell r="DE11">
            <v>43.06</v>
          </cell>
          <cell r="DF11">
            <v>43.2</v>
          </cell>
          <cell r="DG11">
            <v>43.36</v>
          </cell>
          <cell r="DH11">
            <v>43.49</v>
          </cell>
          <cell r="DI11">
            <v>43.61</v>
          </cell>
          <cell r="DJ11">
            <v>43.61</v>
          </cell>
          <cell r="DK11">
            <v>43.92</v>
          </cell>
          <cell r="DL11">
            <v>44.31</v>
          </cell>
          <cell r="DM11">
            <v>44.72</v>
          </cell>
          <cell r="DN11">
            <v>45.1</v>
          </cell>
          <cell r="DO11">
            <v>69.63</v>
          </cell>
          <cell r="DP11">
            <v>69.790000000000006</v>
          </cell>
          <cell r="DQ11">
            <v>69.930000000000007</v>
          </cell>
          <cell r="DR11">
            <v>45.78</v>
          </cell>
          <cell r="DS11">
            <v>46.06</v>
          </cell>
          <cell r="DT11">
            <v>46.24</v>
          </cell>
          <cell r="DU11">
            <v>46.39</v>
          </cell>
          <cell r="DV11">
            <v>46.53</v>
          </cell>
          <cell r="DW11">
            <v>46.63</v>
          </cell>
          <cell r="DX11">
            <v>46.73</v>
          </cell>
          <cell r="DY11">
            <v>46.85</v>
          </cell>
          <cell r="DZ11">
            <v>47.02</v>
          </cell>
          <cell r="EA11">
            <v>47.21</v>
          </cell>
          <cell r="EB11">
            <v>47.37</v>
          </cell>
          <cell r="EC11">
            <v>47.54</v>
          </cell>
          <cell r="ED11">
            <v>47.69</v>
          </cell>
          <cell r="EE11">
            <v>47.04</v>
          </cell>
          <cell r="EF11">
            <v>47.182399999999994</v>
          </cell>
          <cell r="EG11">
            <v>47.79</v>
          </cell>
          <cell r="EH11">
            <v>46.9</v>
          </cell>
          <cell r="EI11">
            <v>48.36</v>
          </cell>
          <cell r="EJ11">
            <v>48.57</v>
          </cell>
          <cell r="EK11">
            <v>48.79</v>
          </cell>
          <cell r="EL11">
            <v>48.9</v>
          </cell>
          <cell r="EM11">
            <v>69.11</v>
          </cell>
          <cell r="EN11">
            <v>49.38</v>
          </cell>
          <cell r="EO11">
            <v>49.78</v>
          </cell>
          <cell r="EP11">
            <v>49.97</v>
          </cell>
          <cell r="EQ11">
            <v>50.12</v>
          </cell>
          <cell r="ER11">
            <v>50.28</v>
          </cell>
          <cell r="ES11">
            <v>50.41</v>
          </cell>
          <cell r="ET11">
            <v>51.16</v>
          </cell>
          <cell r="EU11">
            <v>51.27</v>
          </cell>
          <cell r="EV11">
            <v>51.67</v>
          </cell>
          <cell r="EW11">
            <v>51.91</v>
          </cell>
          <cell r="EX11">
            <v>52.06</v>
          </cell>
          <cell r="EY11">
            <v>52.2</v>
          </cell>
          <cell r="EZ11">
            <v>52.34</v>
          </cell>
          <cell r="FA11">
            <v>52.48</v>
          </cell>
          <cell r="FB11">
            <v>52.76</v>
          </cell>
          <cell r="FC11">
            <v>53.04</v>
          </cell>
          <cell r="FD11">
            <v>53.31</v>
          </cell>
          <cell r="FE11">
            <v>53.5</v>
          </cell>
          <cell r="FF11">
            <v>53.64</v>
          </cell>
          <cell r="FG11">
            <v>53.78</v>
          </cell>
          <cell r="FH11">
            <v>54.21</v>
          </cell>
          <cell r="FI11">
            <v>54.62</v>
          </cell>
          <cell r="FJ11">
            <v>55.05</v>
          </cell>
          <cell r="FK11">
            <v>55.29</v>
          </cell>
          <cell r="FL11">
            <v>55.43</v>
          </cell>
          <cell r="FM11">
            <v>55.47</v>
          </cell>
          <cell r="FN11">
            <v>55.55</v>
          </cell>
          <cell r="FO11">
            <v>55.72</v>
          </cell>
          <cell r="FP11">
            <v>56.12</v>
          </cell>
          <cell r="FQ11">
            <v>56.53</v>
          </cell>
          <cell r="FR11">
            <v>56.93</v>
          </cell>
          <cell r="FS11">
            <v>57.31</v>
          </cell>
          <cell r="FT11">
            <v>57.47</v>
          </cell>
          <cell r="FU11">
            <v>57.65</v>
          </cell>
          <cell r="FV11">
            <v>58.07</v>
          </cell>
          <cell r="FW11">
            <v>58.48</v>
          </cell>
          <cell r="FX11">
            <v>58.87</v>
          </cell>
          <cell r="FY11">
            <v>59.06</v>
          </cell>
          <cell r="FZ11">
            <v>59.25</v>
          </cell>
          <cell r="GA11">
            <v>59.41</v>
          </cell>
          <cell r="GB11">
            <v>59.57</v>
          </cell>
          <cell r="GC11">
            <v>59.79</v>
          </cell>
          <cell r="GD11">
            <v>60.04</v>
          </cell>
          <cell r="GE11">
            <v>60.44</v>
          </cell>
          <cell r="GF11">
            <v>60.74</v>
          </cell>
          <cell r="GG11">
            <v>60.94</v>
          </cell>
          <cell r="GH11">
            <v>61.09</v>
          </cell>
          <cell r="GI11">
            <v>61.17</v>
          </cell>
          <cell r="GJ11">
            <v>61.39</v>
          </cell>
          <cell r="GK11">
            <v>61.76</v>
          </cell>
          <cell r="GL11">
            <v>62.16</v>
          </cell>
          <cell r="GM11">
            <v>62.59</v>
          </cell>
          <cell r="GN11">
            <v>62.88</v>
          </cell>
          <cell r="GO11">
            <v>63.04</v>
          </cell>
          <cell r="GP11">
            <v>63.17</v>
          </cell>
          <cell r="GQ11">
            <v>63.56</v>
          </cell>
          <cell r="GR11">
            <v>63.99</v>
          </cell>
          <cell r="GS11">
            <v>64.39</v>
          </cell>
          <cell r="GT11">
            <v>64.77</v>
          </cell>
          <cell r="GU11">
            <v>65</v>
          </cell>
          <cell r="GV11">
            <v>65.19</v>
          </cell>
          <cell r="GW11">
            <v>65.37</v>
          </cell>
          <cell r="GX11">
            <v>65.680000000000007</v>
          </cell>
          <cell r="GY11">
            <v>66.06</v>
          </cell>
          <cell r="GZ11">
            <v>66.459999999999994</v>
          </cell>
          <cell r="HA11">
            <v>66.83</v>
          </cell>
          <cell r="HB11">
            <v>67.12</v>
          </cell>
          <cell r="HC11">
            <v>67.290000000000006</v>
          </cell>
          <cell r="HD11">
            <v>67.41</v>
          </cell>
          <cell r="HE11">
            <v>67.62</v>
          </cell>
          <cell r="HF11">
            <v>67.92</v>
          </cell>
          <cell r="HG11">
            <v>68.19</v>
          </cell>
          <cell r="HH11">
            <v>68.430000000000007</v>
          </cell>
          <cell r="HI11">
            <v>68.63</v>
          </cell>
          <cell r="HJ11">
            <v>68.849999999999994</v>
          </cell>
          <cell r="HK11">
            <v>69.02</v>
          </cell>
          <cell r="HL11">
            <v>69.47</v>
          </cell>
          <cell r="HM11">
            <v>69.86</v>
          </cell>
          <cell r="HN11">
            <v>70.239999999999995</v>
          </cell>
          <cell r="HO11">
            <v>70.56</v>
          </cell>
          <cell r="HP11">
            <v>70.78</v>
          </cell>
          <cell r="HQ11">
            <v>70.94</v>
          </cell>
          <cell r="HR11">
            <v>71.13</v>
          </cell>
          <cell r="HS11">
            <v>71.52</v>
          </cell>
          <cell r="HT11">
            <v>71.97</v>
          </cell>
          <cell r="HU11">
            <v>72.459999999999994</v>
          </cell>
          <cell r="HV11">
            <v>72.989999999999995</v>
          </cell>
          <cell r="HW11">
            <v>73.540000000000006</v>
          </cell>
          <cell r="HX11">
            <v>73.849999999999994</v>
          </cell>
          <cell r="HY11">
            <v>74.03</v>
          </cell>
          <cell r="HZ11">
            <v>74.55</v>
          </cell>
          <cell r="IA11">
            <v>75.09</v>
          </cell>
          <cell r="IB11">
            <v>75.19</v>
          </cell>
          <cell r="IC11">
            <v>75.77</v>
          </cell>
          <cell r="ID11">
            <v>76.34</v>
          </cell>
          <cell r="IE11">
            <v>76.7</v>
          </cell>
          <cell r="IF11">
            <v>76.87</v>
          </cell>
          <cell r="IG11">
            <v>77.260000000000005</v>
          </cell>
          <cell r="IH11">
            <v>77.67</v>
          </cell>
          <cell r="II11">
            <v>78.02</v>
          </cell>
          <cell r="IJ11">
            <v>78.33</v>
          </cell>
          <cell r="IK11">
            <v>78.63</v>
          </cell>
          <cell r="IL11">
            <v>78.84</v>
          </cell>
          <cell r="IM11">
            <v>79.040000000000006</v>
          </cell>
          <cell r="IN11">
            <v>79.349999999999994</v>
          </cell>
          <cell r="IO11">
            <v>79.650000000000006</v>
          </cell>
          <cell r="IP11">
            <v>79.89</v>
          </cell>
          <cell r="IQ11">
            <v>80.099999999999994</v>
          </cell>
          <cell r="IR11">
            <v>80.41</v>
          </cell>
          <cell r="IS11">
            <v>80.61</v>
          </cell>
          <cell r="IT11">
            <v>80.760000000000005</v>
          </cell>
          <cell r="IU11">
            <v>81.040000000000006</v>
          </cell>
          <cell r="IV11">
            <v>81.239999999999995</v>
          </cell>
          <cell r="IW11">
            <v>81.48</v>
          </cell>
          <cell r="IX11">
            <v>81.680000000000007</v>
          </cell>
          <cell r="IY11">
            <v>81.89</v>
          </cell>
          <cell r="IZ11">
            <v>82.04</v>
          </cell>
          <cell r="JA11">
            <v>82.18</v>
          </cell>
          <cell r="JB11">
            <v>82.18</v>
          </cell>
          <cell r="JC11">
            <v>82.66</v>
          </cell>
          <cell r="JD11">
            <v>83.08</v>
          </cell>
          <cell r="JE11">
            <v>83.43</v>
          </cell>
          <cell r="JF11">
            <v>83.69</v>
          </cell>
          <cell r="JG11">
            <v>83.89</v>
          </cell>
          <cell r="JH11">
            <v>84.01</v>
          </cell>
          <cell r="JI11">
            <v>84.42</v>
          </cell>
          <cell r="JJ11">
            <v>84.66</v>
          </cell>
          <cell r="JK11">
            <v>84.87</v>
          </cell>
          <cell r="JL11">
            <v>85.08</v>
          </cell>
          <cell r="JM11">
            <v>85.09</v>
          </cell>
          <cell r="JN11">
            <v>85.14</v>
          </cell>
          <cell r="JO11">
            <v>85.76</v>
          </cell>
          <cell r="JP11">
            <v>85.97</v>
          </cell>
          <cell r="JQ11">
            <v>86.31</v>
          </cell>
          <cell r="JR11">
            <v>86.67</v>
          </cell>
          <cell r="JS11">
            <v>86.94</v>
          </cell>
          <cell r="JT11">
            <v>87.17</v>
          </cell>
          <cell r="JU11">
            <v>87.37</v>
          </cell>
          <cell r="JV11">
            <v>87.49</v>
          </cell>
          <cell r="JW11">
            <v>87.67</v>
          </cell>
          <cell r="JX11">
            <v>87.83</v>
          </cell>
          <cell r="JY11">
            <v>87.69</v>
          </cell>
          <cell r="JZ11">
            <v>88.09</v>
          </cell>
          <cell r="KA11">
            <v>88.23</v>
          </cell>
          <cell r="KB11">
            <v>88.38</v>
          </cell>
          <cell r="KC11">
            <v>88.48</v>
          </cell>
          <cell r="KD11">
            <v>88.59</v>
          </cell>
          <cell r="KE11">
            <v>88.7</v>
          </cell>
          <cell r="KF11">
            <v>88.81</v>
          </cell>
          <cell r="KG11">
            <v>88.92</v>
          </cell>
          <cell r="KH11">
            <v>89.1</v>
          </cell>
          <cell r="KI11">
            <v>89.13</v>
          </cell>
          <cell r="KJ11">
            <v>89.23</v>
          </cell>
          <cell r="KK11">
            <v>89.34</v>
          </cell>
          <cell r="KL11">
            <v>89.45</v>
          </cell>
          <cell r="KM11">
            <v>89.56</v>
          </cell>
          <cell r="KN11">
            <v>89.66</v>
          </cell>
          <cell r="KO11">
            <v>89.77</v>
          </cell>
          <cell r="KP11">
            <v>89.8</v>
          </cell>
          <cell r="KQ11">
            <v>89.86</v>
          </cell>
          <cell r="KR11">
            <v>89.86</v>
          </cell>
          <cell r="KS11">
            <v>89.88</v>
          </cell>
          <cell r="KT11">
            <v>265.76</v>
          </cell>
          <cell r="KU11">
            <v>89.97</v>
          </cell>
          <cell r="KV11">
            <v>89.99</v>
          </cell>
          <cell r="KW11">
            <v>90</v>
          </cell>
          <cell r="KX11">
            <v>90.01</v>
          </cell>
          <cell r="KY11">
            <v>90.04</v>
          </cell>
          <cell r="KZ11">
            <v>90.06</v>
          </cell>
          <cell r="LA11">
            <v>90.08</v>
          </cell>
          <cell r="LB11">
            <v>90.11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</row>
        <row r="12">
          <cell r="A12" t="str">
            <v>sd 43 sur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35.6</v>
          </cell>
          <cell r="X12">
            <v>36.04</v>
          </cell>
          <cell r="Y12">
            <v>37.020000000000003</v>
          </cell>
          <cell r="Z12">
            <v>38</v>
          </cell>
          <cell r="AA12">
            <v>38.89</v>
          </cell>
          <cell r="AB12">
            <v>39.36</v>
          </cell>
          <cell r="AC12">
            <v>39.51</v>
          </cell>
          <cell r="AD12">
            <v>39.65</v>
          </cell>
          <cell r="AE12">
            <v>40.07</v>
          </cell>
          <cell r="AF12">
            <v>40.590000000000003</v>
          </cell>
          <cell r="AG12">
            <v>41.07</v>
          </cell>
          <cell r="AH12">
            <v>41.45</v>
          </cell>
          <cell r="AI12">
            <v>41.59</v>
          </cell>
          <cell r="AJ12">
            <v>41.75</v>
          </cell>
          <cell r="AK12">
            <v>41.89</v>
          </cell>
          <cell r="AL12">
            <v>42.05</v>
          </cell>
          <cell r="AM12">
            <v>42.75</v>
          </cell>
          <cell r="AN12">
            <v>43.42</v>
          </cell>
          <cell r="AO12">
            <v>43.65</v>
          </cell>
          <cell r="AP12">
            <v>43.81</v>
          </cell>
          <cell r="AQ12">
            <v>43.96</v>
          </cell>
          <cell r="AR12">
            <v>44.12</v>
          </cell>
          <cell r="AS12">
            <v>44.82</v>
          </cell>
          <cell r="AT12">
            <v>45.6</v>
          </cell>
          <cell r="AU12">
            <v>46.05</v>
          </cell>
          <cell r="AV12">
            <v>46.23</v>
          </cell>
          <cell r="AW12">
            <v>46.4</v>
          </cell>
          <cell r="AX12">
            <v>46.57</v>
          </cell>
          <cell r="AY12">
            <v>46.73</v>
          </cell>
          <cell r="AZ12">
            <v>46.89</v>
          </cell>
          <cell r="BA12">
            <v>47.27</v>
          </cell>
          <cell r="BB12">
            <v>47.9</v>
          </cell>
          <cell r="BC12">
            <v>48.14</v>
          </cell>
          <cell r="BD12">
            <v>48.32</v>
          </cell>
          <cell r="BE12">
            <v>48.5</v>
          </cell>
          <cell r="BF12">
            <v>48.7</v>
          </cell>
          <cell r="BG12">
            <v>49.05</v>
          </cell>
          <cell r="BH12">
            <v>49.66</v>
          </cell>
          <cell r="BI12">
            <v>50.21</v>
          </cell>
          <cell r="BJ12">
            <v>50.48</v>
          </cell>
          <cell r="BK12">
            <v>50.65</v>
          </cell>
          <cell r="BL12">
            <v>50.81</v>
          </cell>
          <cell r="BM12">
            <v>50.98</v>
          </cell>
          <cell r="BN12">
            <v>51.57</v>
          </cell>
          <cell r="BO12">
            <v>52.3</v>
          </cell>
          <cell r="BP12">
            <v>53</v>
          </cell>
          <cell r="BQ12">
            <v>53.45</v>
          </cell>
          <cell r="BR12">
            <v>53.64</v>
          </cell>
          <cell r="BS12">
            <v>53.8</v>
          </cell>
          <cell r="BT12">
            <v>53.98</v>
          </cell>
          <cell r="BU12">
            <v>54.61</v>
          </cell>
          <cell r="BV12">
            <v>55.16</v>
          </cell>
          <cell r="BW12">
            <v>55.81</v>
          </cell>
          <cell r="BX12">
            <v>56.45</v>
          </cell>
          <cell r="BY12">
            <v>56.87</v>
          </cell>
          <cell r="BZ12">
            <v>57.04</v>
          </cell>
          <cell r="CA12">
            <v>57.2</v>
          </cell>
          <cell r="CB12">
            <v>57.39</v>
          </cell>
          <cell r="CC12">
            <v>57.98</v>
          </cell>
          <cell r="CD12">
            <v>37.049999999999997</v>
          </cell>
          <cell r="CE12">
            <v>58.67</v>
          </cell>
          <cell r="CF12">
            <v>58.85</v>
          </cell>
          <cell r="CG12">
            <v>59.01</v>
          </cell>
          <cell r="CH12">
            <v>59.17</v>
          </cell>
          <cell r="CI12">
            <v>37.880000000000003</v>
          </cell>
          <cell r="CJ12">
            <v>60.21</v>
          </cell>
          <cell r="CK12">
            <v>60.51</v>
          </cell>
          <cell r="CL12">
            <v>60.69</v>
          </cell>
          <cell r="CM12">
            <v>60.86</v>
          </cell>
          <cell r="CN12">
            <v>61.03</v>
          </cell>
          <cell r="CO12">
            <v>61.19</v>
          </cell>
          <cell r="CP12">
            <v>61.26</v>
          </cell>
          <cell r="CQ12">
            <v>62.3</v>
          </cell>
          <cell r="CR12">
            <v>62.7</v>
          </cell>
          <cell r="CS12">
            <v>63.06</v>
          </cell>
          <cell r="CT12">
            <v>63.36</v>
          </cell>
          <cell r="CU12">
            <v>65.53</v>
          </cell>
          <cell r="CV12">
            <v>63.69</v>
          </cell>
          <cell r="CW12">
            <v>64.010000000000005</v>
          </cell>
          <cell r="CX12">
            <v>64.55</v>
          </cell>
          <cell r="CY12">
            <v>65.13</v>
          </cell>
          <cell r="CZ12">
            <v>65.709999999999994</v>
          </cell>
          <cell r="DA12">
            <v>66</v>
          </cell>
          <cell r="DB12">
            <v>66.19</v>
          </cell>
          <cell r="DC12">
            <v>66.34</v>
          </cell>
          <cell r="DD12">
            <v>66.53</v>
          </cell>
          <cell r="DE12">
            <v>66.73</v>
          </cell>
          <cell r="DF12">
            <v>66.91</v>
          </cell>
          <cell r="DG12">
            <v>67.099999999999994</v>
          </cell>
          <cell r="DH12">
            <v>67.260000000000005</v>
          </cell>
          <cell r="DI12">
            <v>67.34</v>
          </cell>
          <cell r="DJ12">
            <v>67.34</v>
          </cell>
          <cell r="DK12">
            <v>67.819999999999993</v>
          </cell>
          <cell r="DL12">
            <v>68.39</v>
          </cell>
          <cell r="DM12">
            <v>68.98</v>
          </cell>
          <cell r="DN12">
            <v>69.47</v>
          </cell>
          <cell r="DO12">
            <v>45.31</v>
          </cell>
          <cell r="DP12">
            <v>45.46</v>
          </cell>
          <cell r="DQ12">
            <v>45.58</v>
          </cell>
          <cell r="DR12">
            <v>70.09</v>
          </cell>
          <cell r="DS12">
            <v>70.42</v>
          </cell>
          <cell r="DT12">
            <v>70.58</v>
          </cell>
          <cell r="DU12">
            <v>70.819999999999993</v>
          </cell>
          <cell r="DV12">
            <v>70.989999999999995</v>
          </cell>
          <cell r="DW12">
            <v>71.14</v>
          </cell>
          <cell r="DX12">
            <v>71.28</v>
          </cell>
          <cell r="DY12">
            <v>71.44</v>
          </cell>
          <cell r="DZ12">
            <v>71.73</v>
          </cell>
          <cell r="EA12">
            <v>71.81</v>
          </cell>
          <cell r="EB12">
            <v>72.400000000000006</v>
          </cell>
          <cell r="EC12">
            <v>72.7</v>
          </cell>
          <cell r="ED12">
            <v>72.91</v>
          </cell>
          <cell r="EE12">
            <v>71.52</v>
          </cell>
          <cell r="EF12">
            <v>72.045100000000005</v>
          </cell>
          <cell r="EG12">
            <v>73.06</v>
          </cell>
          <cell r="EH12">
            <v>71.570000000000007</v>
          </cell>
          <cell r="EI12">
            <v>74.62</v>
          </cell>
          <cell r="EJ12">
            <v>74.92</v>
          </cell>
          <cell r="EK12">
            <v>75.16</v>
          </cell>
          <cell r="EL12">
            <v>75.28</v>
          </cell>
          <cell r="EM12">
            <v>75.599999999999994</v>
          </cell>
          <cell r="EN12">
            <v>76.010000000000005</v>
          </cell>
          <cell r="EO12">
            <v>76.650000000000006</v>
          </cell>
          <cell r="EP12">
            <v>76.959999999999994</v>
          </cell>
          <cell r="EQ12">
            <v>77.150000000000006</v>
          </cell>
          <cell r="ER12">
            <v>77.34</v>
          </cell>
          <cell r="ES12">
            <v>77.510000000000005</v>
          </cell>
          <cell r="ET12">
            <v>77.8</v>
          </cell>
          <cell r="EU12">
            <v>78.680000000000007</v>
          </cell>
          <cell r="EV12">
            <v>79.28</v>
          </cell>
          <cell r="EW12">
            <v>79.7</v>
          </cell>
          <cell r="EX12">
            <v>79.94</v>
          </cell>
          <cell r="EY12">
            <v>80.11</v>
          </cell>
          <cell r="EZ12">
            <v>80.27</v>
          </cell>
          <cell r="FA12">
            <v>80.430000000000007</v>
          </cell>
          <cell r="FB12">
            <v>80.77</v>
          </cell>
          <cell r="FC12">
            <v>81.150000000000006</v>
          </cell>
          <cell r="FD12">
            <v>81.66</v>
          </cell>
          <cell r="FE12">
            <v>81.900000000000006</v>
          </cell>
          <cell r="FF12">
            <v>82.06</v>
          </cell>
          <cell r="FG12">
            <v>82.26</v>
          </cell>
          <cell r="FH12">
            <v>82.89</v>
          </cell>
          <cell r="FI12">
            <v>83.49</v>
          </cell>
          <cell r="FJ12">
            <v>84.13</v>
          </cell>
          <cell r="FK12">
            <v>84.44</v>
          </cell>
          <cell r="FL12">
            <v>84.56</v>
          </cell>
          <cell r="FM12">
            <v>84.58</v>
          </cell>
          <cell r="FN12">
            <v>84.63</v>
          </cell>
          <cell r="FO12">
            <v>84.91</v>
          </cell>
          <cell r="FP12">
            <v>85.52</v>
          </cell>
          <cell r="FQ12">
            <v>86.12</v>
          </cell>
          <cell r="FR12">
            <v>86.71</v>
          </cell>
          <cell r="FS12">
            <v>87.27</v>
          </cell>
          <cell r="FT12">
            <v>87.44</v>
          </cell>
          <cell r="FU12">
            <v>87.65</v>
          </cell>
          <cell r="FV12">
            <v>88.29</v>
          </cell>
          <cell r="FW12">
            <v>88.96</v>
          </cell>
          <cell r="FX12">
            <v>89.61</v>
          </cell>
          <cell r="FY12">
            <v>89.86</v>
          </cell>
          <cell r="FZ12">
            <v>90.13</v>
          </cell>
          <cell r="GA12">
            <v>90.35</v>
          </cell>
          <cell r="GB12">
            <v>90.53</v>
          </cell>
          <cell r="GC12">
            <v>90.81</v>
          </cell>
          <cell r="GD12">
            <v>91.17</v>
          </cell>
          <cell r="GE12">
            <v>91.94</v>
          </cell>
          <cell r="GF12">
            <v>92.36</v>
          </cell>
          <cell r="GG12">
            <v>92.56</v>
          </cell>
          <cell r="GH12">
            <v>92.75</v>
          </cell>
          <cell r="GI12">
            <v>92.87</v>
          </cell>
          <cell r="GJ12">
            <v>93.16</v>
          </cell>
          <cell r="GK12">
            <v>93.74</v>
          </cell>
          <cell r="GL12">
            <v>94.33</v>
          </cell>
          <cell r="GM12">
            <v>94.97</v>
          </cell>
          <cell r="GN12">
            <v>95.37</v>
          </cell>
          <cell r="GO12">
            <v>95.54</v>
          </cell>
          <cell r="GP12">
            <v>95.71</v>
          </cell>
          <cell r="GQ12">
            <v>96.29</v>
          </cell>
          <cell r="GR12">
            <v>96.91</v>
          </cell>
          <cell r="GS12">
            <v>97.47</v>
          </cell>
          <cell r="GT12">
            <v>98</v>
          </cell>
          <cell r="GU12">
            <v>98.14</v>
          </cell>
          <cell r="GV12">
            <v>98.31</v>
          </cell>
          <cell r="GW12">
            <v>98.48</v>
          </cell>
          <cell r="GX12">
            <v>98.87</v>
          </cell>
          <cell r="GY12">
            <v>99.42</v>
          </cell>
          <cell r="GZ12">
            <v>100</v>
          </cell>
          <cell r="HA12">
            <v>100.54</v>
          </cell>
          <cell r="HB12">
            <v>100.92</v>
          </cell>
          <cell r="HC12">
            <v>101.09</v>
          </cell>
          <cell r="HD12">
            <v>101.24</v>
          </cell>
          <cell r="HE12">
            <v>101.57</v>
          </cell>
          <cell r="HF12">
            <v>102.24</v>
          </cell>
          <cell r="HG12">
            <v>102.68</v>
          </cell>
          <cell r="HH12">
            <v>103.07</v>
          </cell>
          <cell r="HI12">
            <v>103.28</v>
          </cell>
          <cell r="HJ12">
            <v>103.47</v>
          </cell>
          <cell r="HK12">
            <v>103.65</v>
          </cell>
          <cell r="HL12">
            <v>104.34</v>
          </cell>
          <cell r="HM12">
            <v>105.03</v>
          </cell>
          <cell r="HN12">
            <v>105.69</v>
          </cell>
          <cell r="HO12">
            <v>106.2</v>
          </cell>
          <cell r="HP12">
            <v>106.69</v>
          </cell>
          <cell r="HQ12">
            <v>106.84</v>
          </cell>
          <cell r="HR12">
            <v>107.01</v>
          </cell>
          <cell r="HS12">
            <v>107.76</v>
          </cell>
          <cell r="HT12">
            <v>108.74</v>
          </cell>
          <cell r="HU12">
            <v>109.79</v>
          </cell>
          <cell r="HV12">
            <v>110.85</v>
          </cell>
          <cell r="HW12">
            <v>111.83</v>
          </cell>
          <cell r="HX12">
            <v>112.2</v>
          </cell>
          <cell r="HY12">
            <v>112.37</v>
          </cell>
          <cell r="HZ12">
            <v>113.25</v>
          </cell>
          <cell r="IA12">
            <v>114.17</v>
          </cell>
          <cell r="IB12">
            <v>114.34</v>
          </cell>
          <cell r="IC12">
            <v>115.34</v>
          </cell>
          <cell r="ID12">
            <v>116.33</v>
          </cell>
          <cell r="IE12">
            <v>116.79</v>
          </cell>
          <cell r="IF12">
            <v>116.93</v>
          </cell>
          <cell r="IG12">
            <v>117.51</v>
          </cell>
          <cell r="IH12">
            <v>118.09</v>
          </cell>
          <cell r="II12">
            <v>118.64</v>
          </cell>
          <cell r="IJ12">
            <v>119.11</v>
          </cell>
          <cell r="IK12">
            <v>119.61</v>
          </cell>
          <cell r="IL12">
            <v>119.78</v>
          </cell>
          <cell r="IM12">
            <v>119.95</v>
          </cell>
          <cell r="IN12">
            <v>120.45</v>
          </cell>
          <cell r="IO12">
            <v>120.96</v>
          </cell>
          <cell r="IP12">
            <v>121.39</v>
          </cell>
          <cell r="IQ12">
            <v>121.8</v>
          </cell>
          <cell r="IR12">
            <v>122.46</v>
          </cell>
          <cell r="IS12">
            <v>122.72</v>
          </cell>
          <cell r="IT12">
            <v>122.91</v>
          </cell>
          <cell r="IU12">
            <v>123.57</v>
          </cell>
          <cell r="IV12">
            <v>123.91</v>
          </cell>
          <cell r="IW12">
            <v>124.44</v>
          </cell>
          <cell r="IX12">
            <v>124.82</v>
          </cell>
          <cell r="IY12">
            <v>125.15</v>
          </cell>
          <cell r="IZ12">
            <v>125.34</v>
          </cell>
          <cell r="JA12">
            <v>125.52</v>
          </cell>
          <cell r="JB12">
            <v>125.52</v>
          </cell>
          <cell r="JC12">
            <v>126.36</v>
          </cell>
          <cell r="JD12">
            <v>127.15</v>
          </cell>
          <cell r="JE12">
            <v>127.78</v>
          </cell>
          <cell r="JF12">
            <v>128.21</v>
          </cell>
          <cell r="JG12">
            <v>128.38999999999999</v>
          </cell>
          <cell r="JH12">
            <v>128.57</v>
          </cell>
          <cell r="JI12">
            <v>129.21</v>
          </cell>
          <cell r="JJ12">
            <v>129.63</v>
          </cell>
          <cell r="JK12">
            <v>129.80000000000001</v>
          </cell>
          <cell r="JL12">
            <v>129.97</v>
          </cell>
          <cell r="JM12">
            <v>130.41</v>
          </cell>
          <cell r="JN12">
            <v>130.57</v>
          </cell>
          <cell r="JO12">
            <v>130.76</v>
          </cell>
          <cell r="JP12">
            <v>131.03</v>
          </cell>
          <cell r="JQ12">
            <v>131.62</v>
          </cell>
          <cell r="JR12">
            <v>132.24</v>
          </cell>
          <cell r="JS12">
            <v>132.65</v>
          </cell>
          <cell r="JT12">
            <v>132.85</v>
          </cell>
          <cell r="JU12">
            <v>133.04</v>
          </cell>
          <cell r="JV12">
            <v>133.21</v>
          </cell>
          <cell r="JW12">
            <v>133.46</v>
          </cell>
          <cell r="JX12">
            <v>133.71</v>
          </cell>
          <cell r="JY12">
            <v>133.94999999999999</v>
          </cell>
          <cell r="JZ12">
            <v>134.16999999999999</v>
          </cell>
          <cell r="KA12">
            <v>134.36000000000001</v>
          </cell>
          <cell r="KB12">
            <v>134.55000000000001</v>
          </cell>
          <cell r="KC12">
            <v>134.69999999999999</v>
          </cell>
          <cell r="KD12">
            <v>134.87</v>
          </cell>
          <cell r="KE12">
            <v>135.03</v>
          </cell>
          <cell r="KF12">
            <v>135.19</v>
          </cell>
          <cell r="KG12">
            <v>135.30000000000001</v>
          </cell>
          <cell r="KH12">
            <v>135.4</v>
          </cell>
          <cell r="KI12">
            <v>135.65</v>
          </cell>
          <cell r="KJ12">
            <v>135.81</v>
          </cell>
          <cell r="KK12">
            <v>136.01</v>
          </cell>
          <cell r="KL12">
            <v>136.26</v>
          </cell>
          <cell r="KM12">
            <v>136.47</v>
          </cell>
          <cell r="KN12">
            <v>136.72999999999999</v>
          </cell>
          <cell r="KO12">
            <v>136.93</v>
          </cell>
          <cell r="KP12">
            <v>137.03</v>
          </cell>
          <cell r="KQ12">
            <v>137.09</v>
          </cell>
          <cell r="KR12">
            <v>137.15</v>
          </cell>
          <cell r="KS12">
            <v>137.34</v>
          </cell>
          <cell r="KT12">
            <v>137.47</v>
          </cell>
          <cell r="KU12">
            <v>137.54</v>
          </cell>
          <cell r="KV12">
            <v>137.6</v>
          </cell>
          <cell r="KW12">
            <v>137.66999999999999</v>
          </cell>
          <cell r="KX12">
            <v>137.72</v>
          </cell>
          <cell r="KY12">
            <v>137.78</v>
          </cell>
          <cell r="KZ12">
            <v>137.84</v>
          </cell>
          <cell r="LA12">
            <v>137.9</v>
          </cell>
          <cell r="LB12">
            <v>137.96</v>
          </cell>
          <cell r="LC12">
            <v>138.02000000000001</v>
          </cell>
          <cell r="LD12">
            <v>138.07</v>
          </cell>
          <cell r="LE12">
            <v>138.13</v>
          </cell>
          <cell r="LF12">
            <v>138.19</v>
          </cell>
          <cell r="LG12">
            <v>138.25</v>
          </cell>
          <cell r="LH12">
            <v>138.34</v>
          </cell>
          <cell r="LI12">
            <v>138.41</v>
          </cell>
          <cell r="LJ12">
            <v>138.5</v>
          </cell>
          <cell r="LK12">
            <v>138.6</v>
          </cell>
          <cell r="LL12">
            <v>138.66</v>
          </cell>
          <cell r="LM12">
            <v>138.76</v>
          </cell>
          <cell r="LN12">
            <v>138.91</v>
          </cell>
          <cell r="LO12">
            <v>139.07</v>
          </cell>
          <cell r="LP12">
            <v>139.22</v>
          </cell>
          <cell r="LQ12">
            <v>139.36000000000001</v>
          </cell>
          <cell r="LR12">
            <v>139.44999999999999</v>
          </cell>
          <cell r="LS12">
            <v>139.54</v>
          </cell>
          <cell r="LT12">
            <v>139.63</v>
          </cell>
          <cell r="LU12">
            <v>139.72</v>
          </cell>
          <cell r="LV12">
            <v>139.79</v>
          </cell>
          <cell r="LW12">
            <v>139.86000000000001</v>
          </cell>
          <cell r="LX12">
            <v>139.96</v>
          </cell>
          <cell r="LY12">
            <v>140.02000000000001</v>
          </cell>
          <cell r="LZ12">
            <v>140.09</v>
          </cell>
          <cell r="MA12">
            <v>140.24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</row>
        <row r="13">
          <cell r="A13" t="str">
            <v>sd 44</v>
          </cell>
          <cell r="B13">
            <v>55.85</v>
          </cell>
          <cell r="C13">
            <v>56.01</v>
          </cell>
          <cell r="D13">
            <v>56.18</v>
          </cell>
          <cell r="E13">
            <v>57.33</v>
          </cell>
          <cell r="F13">
            <v>58.46</v>
          </cell>
          <cell r="G13">
            <v>59.72</v>
          </cell>
          <cell r="H13">
            <v>60.28</v>
          </cell>
          <cell r="I13">
            <v>60.58</v>
          </cell>
          <cell r="J13">
            <v>61.81</v>
          </cell>
          <cell r="K13">
            <v>62.97</v>
          </cell>
          <cell r="L13">
            <v>64.209999999999994</v>
          </cell>
          <cell r="M13">
            <v>65.25</v>
          </cell>
          <cell r="N13">
            <v>66.5</v>
          </cell>
          <cell r="O13">
            <v>67.08</v>
          </cell>
          <cell r="P13">
            <v>67.28</v>
          </cell>
          <cell r="Q13">
            <v>68.56</v>
          </cell>
          <cell r="R13">
            <v>69.73</v>
          </cell>
          <cell r="S13">
            <v>70.97</v>
          </cell>
          <cell r="T13">
            <v>72.209999999999994</v>
          </cell>
          <cell r="U13">
            <v>73.349999999999994</v>
          </cell>
          <cell r="V13">
            <v>73.55</v>
          </cell>
          <cell r="W13">
            <v>73.73</v>
          </cell>
          <cell r="X13">
            <v>74.94</v>
          </cell>
          <cell r="Y13">
            <v>76.19</v>
          </cell>
          <cell r="Z13">
            <v>77.430000000000007</v>
          </cell>
          <cell r="AA13">
            <v>78.66</v>
          </cell>
          <cell r="AB13">
            <v>79.62</v>
          </cell>
          <cell r="AC13">
            <v>79.790000000000006</v>
          </cell>
          <cell r="AD13">
            <v>79.97</v>
          </cell>
          <cell r="AE13">
            <v>81.03</v>
          </cell>
          <cell r="AF13">
            <v>82.25</v>
          </cell>
          <cell r="AG13">
            <v>83.33</v>
          </cell>
          <cell r="AH13">
            <v>83.71</v>
          </cell>
          <cell r="AI13">
            <v>83.91</v>
          </cell>
          <cell r="AJ13">
            <v>84.11</v>
          </cell>
          <cell r="AK13">
            <v>84.28</v>
          </cell>
          <cell r="AL13">
            <v>84.47</v>
          </cell>
          <cell r="AM13">
            <v>85.61</v>
          </cell>
          <cell r="AN13">
            <v>86.72</v>
          </cell>
          <cell r="AO13">
            <v>87.92</v>
          </cell>
          <cell r="AP13">
            <v>89.04</v>
          </cell>
          <cell r="AQ13">
            <v>90.26</v>
          </cell>
          <cell r="AR13">
            <v>91.37</v>
          </cell>
          <cell r="AS13">
            <v>92.39</v>
          </cell>
          <cell r="AT13">
            <v>93.62</v>
          </cell>
          <cell r="AU13">
            <v>94.81</v>
          </cell>
          <cell r="AV13">
            <v>95.97</v>
          </cell>
          <cell r="AW13">
            <v>97.09</v>
          </cell>
          <cell r="AX13">
            <v>98.26</v>
          </cell>
          <cell r="AY13">
            <v>99.39</v>
          </cell>
          <cell r="AZ13">
            <v>100.54</v>
          </cell>
          <cell r="BA13">
            <v>101.7</v>
          </cell>
          <cell r="BB13">
            <v>102.82</v>
          </cell>
          <cell r="BC13">
            <v>103.93</v>
          </cell>
          <cell r="BD13">
            <v>105.07</v>
          </cell>
          <cell r="BE13">
            <v>106.24</v>
          </cell>
          <cell r="BF13">
            <v>107.4</v>
          </cell>
          <cell r="BG13">
            <v>108.53</v>
          </cell>
          <cell r="BH13">
            <v>109.8</v>
          </cell>
          <cell r="BI13">
            <v>111.01</v>
          </cell>
          <cell r="BJ13">
            <v>112.21</v>
          </cell>
          <cell r="BK13">
            <v>113.42</v>
          </cell>
          <cell r="BL13">
            <v>114.63</v>
          </cell>
          <cell r="BM13">
            <v>115.75</v>
          </cell>
          <cell r="BN13">
            <v>116.82</v>
          </cell>
          <cell r="BO13">
            <v>118.03</v>
          </cell>
          <cell r="BP13">
            <v>119.16</v>
          </cell>
          <cell r="BQ13">
            <v>120.41</v>
          </cell>
          <cell r="BR13">
            <v>121.61</v>
          </cell>
          <cell r="BS13">
            <v>122.79</v>
          </cell>
          <cell r="BT13">
            <v>124.01</v>
          </cell>
          <cell r="BU13">
            <v>125.29</v>
          </cell>
          <cell r="BV13">
            <v>126.54</v>
          </cell>
          <cell r="BW13">
            <v>127.72</v>
          </cell>
          <cell r="BX13">
            <v>128.83000000000001</v>
          </cell>
          <cell r="BY13">
            <v>130.06</v>
          </cell>
          <cell r="BZ13">
            <v>131.38</v>
          </cell>
          <cell r="CA13">
            <v>131.97999999999999</v>
          </cell>
          <cell r="CB13">
            <v>132.18</v>
          </cell>
          <cell r="CC13">
            <v>132.94</v>
          </cell>
          <cell r="CD13">
            <v>133.84</v>
          </cell>
          <cell r="CE13">
            <v>135.1</v>
          </cell>
          <cell r="CF13">
            <v>136.30000000000001</v>
          </cell>
          <cell r="CG13">
            <v>137.47</v>
          </cell>
          <cell r="CH13">
            <v>138.61000000000001</v>
          </cell>
          <cell r="CI13">
            <v>139.66999999999999</v>
          </cell>
          <cell r="CJ13">
            <v>140.81</v>
          </cell>
          <cell r="CK13">
            <v>141.94999999999999</v>
          </cell>
          <cell r="CL13">
            <v>143.16</v>
          </cell>
          <cell r="CM13">
            <v>143.54</v>
          </cell>
          <cell r="CN13">
            <v>143.72</v>
          </cell>
          <cell r="CO13">
            <v>143.91999999999999</v>
          </cell>
          <cell r="CP13">
            <v>145.13999999999999</v>
          </cell>
          <cell r="CQ13">
            <v>146.21</v>
          </cell>
          <cell r="CR13">
            <v>147.34</v>
          </cell>
          <cell r="CS13">
            <v>148.53</v>
          </cell>
          <cell r="CT13">
            <v>149.65</v>
          </cell>
          <cell r="CU13">
            <v>149.82</v>
          </cell>
          <cell r="CV13">
            <v>149.97999999999999</v>
          </cell>
          <cell r="CW13">
            <v>150.13</v>
          </cell>
          <cell r="CX13">
            <v>150.46</v>
          </cell>
          <cell r="CY13">
            <v>515.26</v>
          </cell>
          <cell r="CZ13">
            <v>152.4</v>
          </cell>
          <cell r="DA13">
            <v>153.68</v>
          </cell>
          <cell r="DB13">
            <v>154.19999999999999</v>
          </cell>
          <cell r="DC13">
            <v>154.36000000000001</v>
          </cell>
          <cell r="DD13">
            <v>154.54</v>
          </cell>
          <cell r="DE13">
            <v>154.72</v>
          </cell>
          <cell r="DF13">
            <v>154.88</v>
          </cell>
          <cell r="DG13">
            <v>155.06</v>
          </cell>
          <cell r="DH13">
            <v>155.21</v>
          </cell>
          <cell r="DI13">
            <v>155.35</v>
          </cell>
          <cell r="DJ13">
            <v>155.35</v>
          </cell>
          <cell r="DK13">
            <v>156.55000000000001</v>
          </cell>
          <cell r="DL13">
            <v>157.58000000000001</v>
          </cell>
          <cell r="DM13">
            <v>158.72</v>
          </cell>
          <cell r="DN13">
            <v>159.85</v>
          </cell>
          <cell r="DO13">
            <v>160.87</v>
          </cell>
          <cell r="DP13">
            <v>161.15</v>
          </cell>
          <cell r="DQ13">
            <v>161.36000000000001</v>
          </cell>
          <cell r="DR13">
            <v>162.55000000000001</v>
          </cell>
          <cell r="DS13">
            <v>163.63</v>
          </cell>
          <cell r="DT13">
            <v>163.83600000000001</v>
          </cell>
          <cell r="DU13">
            <v>165.02</v>
          </cell>
          <cell r="DV13">
            <v>166.26</v>
          </cell>
          <cell r="DW13">
            <v>166.47</v>
          </cell>
          <cell r="DX13">
            <v>166.64</v>
          </cell>
          <cell r="DY13">
            <v>166.87</v>
          </cell>
          <cell r="DZ13">
            <v>168.06</v>
          </cell>
          <cell r="EA13">
            <v>169.21</v>
          </cell>
          <cell r="EB13">
            <v>170.35</v>
          </cell>
          <cell r="EC13">
            <v>171.3</v>
          </cell>
          <cell r="ED13">
            <v>171.83</v>
          </cell>
          <cell r="EE13">
            <v>168.02</v>
          </cell>
          <cell r="EF13">
            <v>169.03460000000001</v>
          </cell>
          <cell r="EG13">
            <v>172.03</v>
          </cell>
          <cell r="EH13">
            <v>167.82999999999998</v>
          </cell>
          <cell r="EI13">
            <v>176.82</v>
          </cell>
          <cell r="EJ13">
            <v>177.95</v>
          </cell>
          <cell r="EK13">
            <v>178.3</v>
          </cell>
          <cell r="EL13">
            <v>178.42</v>
          </cell>
          <cell r="EM13">
            <v>179.34</v>
          </cell>
          <cell r="EN13">
            <v>180.5</v>
          </cell>
          <cell r="EO13">
            <v>181.75</v>
          </cell>
          <cell r="EP13">
            <v>182.82</v>
          </cell>
          <cell r="EQ13">
            <v>183.97</v>
          </cell>
          <cell r="ER13">
            <v>184.54</v>
          </cell>
          <cell r="ES13">
            <v>184.72</v>
          </cell>
          <cell r="ET13">
            <v>185.6</v>
          </cell>
          <cell r="EU13">
            <v>187.13</v>
          </cell>
          <cell r="EV13">
            <v>188.41</v>
          </cell>
          <cell r="EW13">
            <v>189.64</v>
          </cell>
          <cell r="EX13">
            <v>190.78</v>
          </cell>
          <cell r="EY13">
            <v>191.17</v>
          </cell>
          <cell r="EZ13">
            <v>191.4</v>
          </cell>
          <cell r="FA13">
            <v>192.64</v>
          </cell>
          <cell r="FB13">
            <v>193.86</v>
          </cell>
          <cell r="FC13">
            <v>195.08</v>
          </cell>
          <cell r="FD13">
            <v>196.26</v>
          </cell>
          <cell r="FE13">
            <v>197.31</v>
          </cell>
          <cell r="FF13">
            <v>197.71</v>
          </cell>
          <cell r="FG13">
            <v>197.94</v>
          </cell>
          <cell r="FH13">
            <v>199.21</v>
          </cell>
          <cell r="FI13">
            <v>200.37</v>
          </cell>
          <cell r="FJ13">
            <v>201.56</v>
          </cell>
          <cell r="FK13">
            <v>202.78</v>
          </cell>
          <cell r="FL13">
            <v>203.92</v>
          </cell>
          <cell r="FM13">
            <v>204.35</v>
          </cell>
          <cell r="FN13">
            <v>204.5</v>
          </cell>
          <cell r="FO13">
            <v>205.76</v>
          </cell>
          <cell r="FP13">
            <v>207</v>
          </cell>
          <cell r="FQ13">
            <v>208.23</v>
          </cell>
          <cell r="FR13">
            <v>209.39</v>
          </cell>
          <cell r="FS13">
            <v>210.51</v>
          </cell>
          <cell r="FT13">
            <v>210.95</v>
          </cell>
          <cell r="FU13">
            <v>211.18</v>
          </cell>
          <cell r="FV13">
            <v>212.41</v>
          </cell>
          <cell r="FW13">
            <v>213.64</v>
          </cell>
          <cell r="FX13">
            <v>214.88</v>
          </cell>
          <cell r="FY13">
            <v>216.07</v>
          </cell>
          <cell r="FZ13">
            <v>216.93</v>
          </cell>
          <cell r="GA13">
            <v>217.08</v>
          </cell>
          <cell r="GB13">
            <v>217.25</v>
          </cell>
          <cell r="GC13">
            <v>218.56</v>
          </cell>
          <cell r="GD13">
            <v>219.77</v>
          </cell>
          <cell r="GE13">
            <v>221.01</v>
          </cell>
          <cell r="GF13">
            <v>222.23</v>
          </cell>
          <cell r="GG13">
            <v>223.21</v>
          </cell>
          <cell r="GH13">
            <v>223.47</v>
          </cell>
          <cell r="GI13">
            <v>223.64</v>
          </cell>
          <cell r="GJ13">
            <v>224.91</v>
          </cell>
          <cell r="GK13">
            <v>226.07</v>
          </cell>
          <cell r="GL13">
            <v>227.2</v>
          </cell>
          <cell r="GM13">
            <v>228.51</v>
          </cell>
          <cell r="GN13">
            <v>228.91</v>
          </cell>
          <cell r="GO13">
            <v>229.14</v>
          </cell>
          <cell r="GP13">
            <v>229.34</v>
          </cell>
          <cell r="GQ13">
            <v>230.45</v>
          </cell>
          <cell r="GR13">
            <v>231.65</v>
          </cell>
          <cell r="GS13">
            <v>232.73</v>
          </cell>
          <cell r="GT13">
            <v>233.9</v>
          </cell>
          <cell r="GU13">
            <v>234.97</v>
          </cell>
          <cell r="GV13">
            <v>235.53</v>
          </cell>
          <cell r="GW13">
            <v>235.71</v>
          </cell>
          <cell r="GX13">
            <v>236.99</v>
          </cell>
          <cell r="GY13">
            <v>238.16</v>
          </cell>
          <cell r="GZ13">
            <v>239.31</v>
          </cell>
          <cell r="HA13">
            <v>240.45</v>
          </cell>
          <cell r="HB13">
            <v>241.65</v>
          </cell>
          <cell r="HC13">
            <v>242.17</v>
          </cell>
          <cell r="HD13">
            <v>242.3</v>
          </cell>
          <cell r="HE13">
            <v>242.69</v>
          </cell>
          <cell r="HF13">
            <v>243.69</v>
          </cell>
          <cell r="HG13">
            <v>244.69</v>
          </cell>
          <cell r="HH13">
            <v>245.88</v>
          </cell>
          <cell r="HI13">
            <v>247</v>
          </cell>
          <cell r="HJ13">
            <v>247.78</v>
          </cell>
          <cell r="HK13">
            <v>248.09</v>
          </cell>
          <cell r="HL13">
            <v>249.3</v>
          </cell>
          <cell r="HM13">
            <v>250.54</v>
          </cell>
          <cell r="HN13">
            <v>251.69</v>
          </cell>
          <cell r="HO13">
            <v>252.86</v>
          </cell>
          <cell r="HP13">
            <v>254.08</v>
          </cell>
          <cell r="HQ13">
            <v>254.9</v>
          </cell>
          <cell r="HR13">
            <v>255.1</v>
          </cell>
          <cell r="HS13">
            <v>256.35000000000002</v>
          </cell>
          <cell r="HT13">
            <v>257.61</v>
          </cell>
          <cell r="HU13">
            <v>258.86</v>
          </cell>
          <cell r="HV13">
            <v>260.14999999999998</v>
          </cell>
          <cell r="HW13">
            <v>261.07</v>
          </cell>
          <cell r="HX13">
            <v>261.26</v>
          </cell>
          <cell r="HY13">
            <v>261.48</v>
          </cell>
          <cell r="HZ13">
            <v>262.64999999999998</v>
          </cell>
          <cell r="IA13">
            <v>263.57</v>
          </cell>
          <cell r="IB13">
            <v>263.72000000000003</v>
          </cell>
          <cell r="IC13">
            <v>264.97000000000003</v>
          </cell>
          <cell r="ID13">
            <v>266.27999999999997</v>
          </cell>
          <cell r="IE13">
            <v>267.22000000000003</v>
          </cell>
          <cell r="IF13">
            <v>267.41000000000003</v>
          </cell>
          <cell r="IG13">
            <v>268.60000000000002</v>
          </cell>
          <cell r="IH13">
            <v>269.76</v>
          </cell>
          <cell r="II13">
            <v>271</v>
          </cell>
          <cell r="IJ13">
            <v>272.20999999999998</v>
          </cell>
          <cell r="IK13">
            <v>273.41000000000003</v>
          </cell>
          <cell r="IL13">
            <v>273.89999999999998</v>
          </cell>
          <cell r="IM13">
            <v>274.10000000000002</v>
          </cell>
          <cell r="IN13">
            <v>275.16000000000003</v>
          </cell>
          <cell r="IO13">
            <v>276.37</v>
          </cell>
          <cell r="IP13">
            <v>276.89999999999998</v>
          </cell>
          <cell r="IQ13">
            <v>277.89999999999998</v>
          </cell>
          <cell r="IR13">
            <v>279.14</v>
          </cell>
          <cell r="IS13">
            <v>280.07</v>
          </cell>
          <cell r="IT13">
            <v>280.54000000000002</v>
          </cell>
          <cell r="IU13">
            <v>281.48</v>
          </cell>
          <cell r="IV13">
            <v>282.58999999999997</v>
          </cell>
          <cell r="IW13">
            <v>283.72000000000003</v>
          </cell>
          <cell r="IX13">
            <v>284.91000000000003</v>
          </cell>
          <cell r="IY13">
            <v>285.63</v>
          </cell>
          <cell r="IZ13">
            <v>285.81</v>
          </cell>
          <cell r="JA13">
            <v>285.97000000000003</v>
          </cell>
          <cell r="JB13">
            <v>285.97000000000003</v>
          </cell>
          <cell r="JC13">
            <v>287.27999999999997</v>
          </cell>
          <cell r="JD13">
            <v>288.45999999999998</v>
          </cell>
          <cell r="JE13">
            <v>289.64999999999998</v>
          </cell>
          <cell r="JF13">
            <v>290.8</v>
          </cell>
          <cell r="JG13">
            <v>291.10000000000002</v>
          </cell>
          <cell r="JH13">
            <v>291.26</v>
          </cell>
          <cell r="JI13">
            <v>291.44</v>
          </cell>
          <cell r="JJ13">
            <v>292.64999999999998</v>
          </cell>
          <cell r="JK13">
            <v>293.83999999999997</v>
          </cell>
          <cell r="JL13">
            <v>295.12</v>
          </cell>
          <cell r="JM13">
            <v>295.94</v>
          </cell>
          <cell r="JN13">
            <v>296.24</v>
          </cell>
          <cell r="JO13">
            <v>296.37</v>
          </cell>
          <cell r="JP13">
            <v>297.04000000000002</v>
          </cell>
          <cell r="JQ13">
            <v>298.23</v>
          </cell>
          <cell r="JR13">
            <v>299.45999999999998</v>
          </cell>
          <cell r="JS13">
            <v>300.39999999999998</v>
          </cell>
          <cell r="JT13">
            <v>300.58</v>
          </cell>
          <cell r="JU13">
            <v>300.75</v>
          </cell>
          <cell r="JV13">
            <v>300.93</v>
          </cell>
          <cell r="JW13">
            <v>301.95</v>
          </cell>
          <cell r="JX13">
            <v>303.14</v>
          </cell>
          <cell r="JY13">
            <v>304.32</v>
          </cell>
          <cell r="JZ13">
            <v>305.52999999999997</v>
          </cell>
          <cell r="KA13">
            <v>305.91000000000003</v>
          </cell>
          <cell r="KB13">
            <v>306.10000000000002</v>
          </cell>
          <cell r="KC13">
            <v>306.24</v>
          </cell>
          <cell r="KD13">
            <v>306.8</v>
          </cell>
          <cell r="KE13">
            <v>307.88</v>
          </cell>
          <cell r="KF13">
            <v>308.08</v>
          </cell>
          <cell r="KG13">
            <v>309</v>
          </cell>
          <cell r="KH13">
            <v>310.10000000000002</v>
          </cell>
          <cell r="KI13">
            <v>311.3</v>
          </cell>
          <cell r="KJ13">
            <v>311.45999999999998</v>
          </cell>
          <cell r="KK13">
            <v>312.62</v>
          </cell>
          <cell r="KL13">
            <v>313.83999999999997</v>
          </cell>
          <cell r="KM13">
            <v>315.04000000000002</v>
          </cell>
          <cell r="KN13">
            <v>316.16000000000003</v>
          </cell>
          <cell r="KO13">
            <v>316.35000000000002</v>
          </cell>
          <cell r="KP13">
            <v>316.46000000000004</v>
          </cell>
          <cell r="KQ13">
            <v>316.62</v>
          </cell>
          <cell r="KR13">
            <v>317.85000000000002</v>
          </cell>
          <cell r="KS13">
            <v>319.11</v>
          </cell>
          <cell r="KT13">
            <v>320.18</v>
          </cell>
          <cell r="KU13">
            <v>320.36</v>
          </cell>
          <cell r="KV13">
            <v>320.52999999999997</v>
          </cell>
          <cell r="KW13">
            <v>320.68</v>
          </cell>
          <cell r="KX13">
            <v>320.83</v>
          </cell>
          <cell r="KY13">
            <v>322.02</v>
          </cell>
          <cell r="KZ13">
            <v>323.23</v>
          </cell>
          <cell r="LA13">
            <v>324.49</v>
          </cell>
          <cell r="LB13">
            <v>325.05</v>
          </cell>
          <cell r="LC13">
            <v>325.24</v>
          </cell>
          <cell r="LD13">
            <v>325.42</v>
          </cell>
          <cell r="LE13">
            <v>325.58999999999997</v>
          </cell>
          <cell r="LF13">
            <v>325.94</v>
          </cell>
          <cell r="LG13">
            <v>327.10000000000002</v>
          </cell>
          <cell r="LH13">
            <v>328.31</v>
          </cell>
          <cell r="LI13">
            <v>329.58</v>
          </cell>
          <cell r="LJ13">
            <v>329.91</v>
          </cell>
          <cell r="LK13">
            <v>330.06</v>
          </cell>
          <cell r="LL13">
            <v>330.17</v>
          </cell>
          <cell r="LM13">
            <v>330.34</v>
          </cell>
          <cell r="LN13">
            <v>330.51</v>
          </cell>
          <cell r="LO13">
            <v>330.67</v>
          </cell>
          <cell r="LP13">
            <v>330.82</v>
          </cell>
          <cell r="LQ13">
            <v>331</v>
          </cell>
          <cell r="LR13">
            <v>331.16</v>
          </cell>
          <cell r="LS13">
            <v>331.35</v>
          </cell>
          <cell r="LT13">
            <v>332.57</v>
          </cell>
          <cell r="LU13">
            <v>333.74</v>
          </cell>
          <cell r="LV13">
            <v>334.98</v>
          </cell>
          <cell r="LW13">
            <v>336.17</v>
          </cell>
          <cell r="LX13">
            <v>337.17</v>
          </cell>
          <cell r="LY13">
            <v>337.87</v>
          </cell>
          <cell r="LZ13">
            <v>338.05</v>
          </cell>
          <cell r="MA13">
            <v>339.28</v>
          </cell>
          <cell r="MB13">
            <v>0</v>
          </cell>
          <cell r="MC13">
            <v>0</v>
          </cell>
          <cell r="MD13">
            <v>0</v>
          </cell>
          <cell r="ME13">
            <v>0</v>
          </cell>
          <cell r="MF13">
            <v>0</v>
          </cell>
          <cell r="MG13">
            <v>0</v>
          </cell>
          <cell r="MH13">
            <v>0</v>
          </cell>
        </row>
        <row r="14">
          <cell r="A14" t="str">
            <v>sd 45</v>
          </cell>
          <cell r="B14">
            <v>69.569999999999993</v>
          </cell>
          <cell r="C14">
            <v>69.73</v>
          </cell>
          <cell r="D14">
            <v>69.900000000000006</v>
          </cell>
          <cell r="E14">
            <v>71.239999999999995</v>
          </cell>
          <cell r="F14">
            <v>72.760000000000005</v>
          </cell>
          <cell r="G14">
            <v>74.28</v>
          </cell>
          <cell r="H14">
            <v>75.069999999999993</v>
          </cell>
          <cell r="I14">
            <v>75.349999999999994</v>
          </cell>
          <cell r="J14">
            <v>76.209999999999994</v>
          </cell>
          <cell r="K14">
            <v>77.44</v>
          </cell>
          <cell r="L14">
            <v>78.86</v>
          </cell>
          <cell r="M14">
            <v>80.319999999999993</v>
          </cell>
          <cell r="N14">
            <v>81.77</v>
          </cell>
          <cell r="O14">
            <v>83.35</v>
          </cell>
          <cell r="P14">
            <v>84.1</v>
          </cell>
          <cell r="Q14">
            <v>85.69</v>
          </cell>
          <cell r="R14">
            <v>87.24</v>
          </cell>
          <cell r="S14">
            <v>88.8</v>
          </cell>
          <cell r="T14">
            <v>89.77</v>
          </cell>
          <cell r="U14">
            <v>90.1</v>
          </cell>
          <cell r="V14">
            <v>90.39</v>
          </cell>
          <cell r="W14">
            <v>90.65</v>
          </cell>
          <cell r="X14">
            <v>92.13</v>
          </cell>
          <cell r="Y14">
            <v>93.54</v>
          </cell>
          <cell r="Z14">
            <v>95.08</v>
          </cell>
          <cell r="AA14">
            <v>96.59</v>
          </cell>
          <cell r="AB14">
            <v>97.88</v>
          </cell>
          <cell r="AC14">
            <v>99.24</v>
          </cell>
          <cell r="AD14">
            <v>99.58</v>
          </cell>
          <cell r="AE14">
            <v>100.96</v>
          </cell>
          <cell r="AF14">
            <v>102.48</v>
          </cell>
          <cell r="AG14">
            <v>103.89</v>
          </cell>
          <cell r="AH14">
            <v>105.47</v>
          </cell>
          <cell r="AI14">
            <v>106.96</v>
          </cell>
          <cell r="AJ14">
            <v>107.54</v>
          </cell>
          <cell r="AK14">
            <v>107.85</v>
          </cell>
          <cell r="AL14">
            <v>108.19</v>
          </cell>
          <cell r="AM14">
            <v>109.59</v>
          </cell>
          <cell r="AN14">
            <v>110.96</v>
          </cell>
          <cell r="AO14">
            <v>112.45</v>
          </cell>
          <cell r="AP14">
            <v>114.07</v>
          </cell>
          <cell r="AQ14">
            <v>115.63</v>
          </cell>
          <cell r="AR14">
            <v>115.97</v>
          </cell>
          <cell r="AS14">
            <v>117.42</v>
          </cell>
          <cell r="AT14">
            <v>118.93</v>
          </cell>
          <cell r="AU14">
            <v>120.44</v>
          </cell>
          <cell r="AV14">
            <v>121.92</v>
          </cell>
          <cell r="AW14">
            <v>123.49</v>
          </cell>
          <cell r="AX14">
            <v>123.93</v>
          </cell>
          <cell r="AY14">
            <v>124.21</v>
          </cell>
          <cell r="AZ14">
            <v>125.66</v>
          </cell>
          <cell r="BA14">
            <v>127.1</v>
          </cell>
          <cell r="BB14">
            <v>128.47999999999999</v>
          </cell>
          <cell r="BC14">
            <v>130.06</v>
          </cell>
          <cell r="BD14">
            <v>131.5</v>
          </cell>
          <cell r="BE14">
            <v>132.43</v>
          </cell>
          <cell r="BF14">
            <v>132.72999999999999</v>
          </cell>
          <cell r="BG14">
            <v>134.07</v>
          </cell>
          <cell r="BH14">
            <v>135.66</v>
          </cell>
          <cell r="BI14">
            <v>136.99</v>
          </cell>
          <cell r="BJ14">
            <v>138.58000000000001</v>
          </cell>
          <cell r="BK14">
            <v>140.16</v>
          </cell>
          <cell r="BL14">
            <v>140.62</v>
          </cell>
          <cell r="BM14">
            <v>140.94</v>
          </cell>
          <cell r="BN14">
            <v>142.30000000000001</v>
          </cell>
          <cell r="BO14">
            <v>143.66</v>
          </cell>
          <cell r="BP14">
            <v>145.16999999999999</v>
          </cell>
          <cell r="BQ14">
            <v>146.77000000000001</v>
          </cell>
          <cell r="BR14">
            <v>147.59</v>
          </cell>
          <cell r="BS14">
            <v>147.87</v>
          </cell>
          <cell r="BT14">
            <v>148.13999999999999</v>
          </cell>
          <cell r="BU14">
            <v>148.69999999999999</v>
          </cell>
          <cell r="BV14">
            <v>150.07</v>
          </cell>
          <cell r="BW14">
            <v>151.61000000000001</v>
          </cell>
          <cell r="BX14">
            <v>153.13999999999999</v>
          </cell>
          <cell r="BY14">
            <v>154.76</v>
          </cell>
          <cell r="BZ14">
            <v>155.29</v>
          </cell>
          <cell r="CA14">
            <v>155.56</v>
          </cell>
          <cell r="CB14">
            <v>155.84</v>
          </cell>
          <cell r="CC14">
            <v>157.26</v>
          </cell>
          <cell r="CD14">
            <v>158.83000000000001</v>
          </cell>
          <cell r="CE14">
            <v>160.15</v>
          </cell>
          <cell r="CF14">
            <v>160.53</v>
          </cell>
          <cell r="CG14">
            <v>160.79</v>
          </cell>
          <cell r="CH14">
            <v>161.06</v>
          </cell>
          <cell r="CI14">
            <v>162.69999999999999</v>
          </cell>
          <cell r="CJ14">
            <v>164.35</v>
          </cell>
          <cell r="CK14">
            <v>165.89</v>
          </cell>
          <cell r="CL14">
            <v>166.44</v>
          </cell>
          <cell r="CM14">
            <v>166.78</v>
          </cell>
          <cell r="CN14">
            <v>167.05</v>
          </cell>
          <cell r="CO14">
            <v>167.36</v>
          </cell>
          <cell r="CP14">
            <v>168.37</v>
          </cell>
          <cell r="CQ14">
            <v>169.68</v>
          </cell>
          <cell r="CR14">
            <v>171.1</v>
          </cell>
          <cell r="CS14">
            <v>172.53</v>
          </cell>
          <cell r="CT14">
            <v>174.02</v>
          </cell>
          <cell r="CU14">
            <v>175.4</v>
          </cell>
          <cell r="CV14">
            <v>176</v>
          </cell>
          <cell r="CW14">
            <v>177.52</v>
          </cell>
          <cell r="CX14">
            <v>179</v>
          </cell>
          <cell r="CY14">
            <v>180.59</v>
          </cell>
          <cell r="CZ14">
            <v>182.16</v>
          </cell>
          <cell r="DA14">
            <v>183.82</v>
          </cell>
          <cell r="DB14">
            <v>184.78</v>
          </cell>
          <cell r="DC14">
            <v>185.04</v>
          </cell>
          <cell r="DD14">
            <v>185.29</v>
          </cell>
          <cell r="DE14">
            <v>185.59</v>
          </cell>
          <cell r="DF14">
            <v>185.86</v>
          </cell>
          <cell r="DG14">
            <v>186.17</v>
          </cell>
          <cell r="DH14">
            <v>186.41</v>
          </cell>
          <cell r="DI14">
            <v>186.63</v>
          </cell>
          <cell r="DJ14">
            <v>186.63</v>
          </cell>
          <cell r="DK14">
            <v>188.11</v>
          </cell>
          <cell r="DL14">
            <v>189.7</v>
          </cell>
          <cell r="DM14">
            <v>191.19</v>
          </cell>
          <cell r="DN14">
            <v>192.81</v>
          </cell>
          <cell r="DO14">
            <v>193.93</v>
          </cell>
          <cell r="DP14">
            <v>194.24</v>
          </cell>
          <cell r="DQ14">
            <v>194.49</v>
          </cell>
          <cell r="DR14">
            <v>196.04</v>
          </cell>
          <cell r="DS14">
            <v>197.43</v>
          </cell>
          <cell r="DT14">
            <v>197.81</v>
          </cell>
          <cell r="DU14">
            <v>199.09</v>
          </cell>
          <cell r="DV14">
            <v>200.8</v>
          </cell>
          <cell r="DW14">
            <v>201.33</v>
          </cell>
          <cell r="DX14">
            <v>201.57</v>
          </cell>
          <cell r="DY14">
            <v>201.85</v>
          </cell>
          <cell r="DZ14">
            <v>202.38</v>
          </cell>
          <cell r="EA14">
            <v>203.93</v>
          </cell>
          <cell r="EB14">
            <v>205.23</v>
          </cell>
          <cell r="EC14">
            <v>206.72</v>
          </cell>
          <cell r="ED14">
            <v>207.14</v>
          </cell>
          <cell r="EE14">
            <v>203.4</v>
          </cell>
          <cell r="EF14">
            <v>204.55699999999999</v>
          </cell>
          <cell r="EG14">
            <v>207.4</v>
          </cell>
          <cell r="EH14">
            <v>202.1</v>
          </cell>
          <cell r="EI14">
            <v>213.09</v>
          </cell>
          <cell r="EJ14">
            <v>213.37</v>
          </cell>
          <cell r="EK14">
            <v>213.62</v>
          </cell>
          <cell r="EL14">
            <v>213.79</v>
          </cell>
          <cell r="EM14">
            <v>215.23</v>
          </cell>
          <cell r="EN14">
            <v>216.64</v>
          </cell>
          <cell r="EO14">
            <v>218.23</v>
          </cell>
          <cell r="EP14">
            <v>219.84</v>
          </cell>
          <cell r="EQ14">
            <v>221.42</v>
          </cell>
          <cell r="ER14">
            <v>221.93</v>
          </cell>
          <cell r="ES14">
            <v>222.17</v>
          </cell>
          <cell r="ET14">
            <v>222.79</v>
          </cell>
          <cell r="EU14">
            <v>224.36</v>
          </cell>
          <cell r="EV14">
            <v>225.94</v>
          </cell>
          <cell r="EW14">
            <v>227.52</v>
          </cell>
          <cell r="EX14">
            <v>228.82</v>
          </cell>
          <cell r="EY14">
            <v>229.07</v>
          </cell>
          <cell r="EZ14">
            <v>229.37</v>
          </cell>
          <cell r="FA14">
            <v>230.92</v>
          </cell>
          <cell r="FB14">
            <v>232.47</v>
          </cell>
          <cell r="FC14">
            <v>234.03</v>
          </cell>
          <cell r="FD14">
            <v>235.54</v>
          </cell>
          <cell r="FE14">
            <v>236.87</v>
          </cell>
          <cell r="FF14">
            <v>237.15</v>
          </cell>
          <cell r="FG14">
            <v>237.44</v>
          </cell>
          <cell r="FH14">
            <v>238.42</v>
          </cell>
          <cell r="FI14">
            <v>239.88</v>
          </cell>
          <cell r="FJ14">
            <v>241.33</v>
          </cell>
          <cell r="FK14">
            <v>242.76</v>
          </cell>
          <cell r="FL14">
            <v>244.37</v>
          </cell>
          <cell r="FM14">
            <v>244.6</v>
          </cell>
          <cell r="FN14">
            <v>244.82</v>
          </cell>
          <cell r="FO14">
            <v>246.25</v>
          </cell>
          <cell r="FP14">
            <v>247.84</v>
          </cell>
          <cell r="FQ14">
            <v>249.333</v>
          </cell>
          <cell r="FR14">
            <v>250.79</v>
          </cell>
          <cell r="FS14">
            <v>252.46</v>
          </cell>
          <cell r="FT14">
            <v>252.74</v>
          </cell>
          <cell r="FU14">
            <v>253.05</v>
          </cell>
          <cell r="FV14">
            <v>254.51</v>
          </cell>
          <cell r="FW14">
            <v>256.07</v>
          </cell>
          <cell r="FX14">
            <v>257.52999999999997</v>
          </cell>
          <cell r="FY14">
            <v>258.95999999999998</v>
          </cell>
          <cell r="FZ14">
            <v>260.60000000000002</v>
          </cell>
          <cell r="GA14">
            <v>260.93</v>
          </cell>
          <cell r="GB14">
            <v>261.20999999999998</v>
          </cell>
          <cell r="GC14">
            <v>262.77999999999997</v>
          </cell>
          <cell r="GD14">
            <v>264.01</v>
          </cell>
          <cell r="GE14">
            <v>265.58999999999997</v>
          </cell>
          <cell r="GF14">
            <v>267.08</v>
          </cell>
          <cell r="GG14">
            <v>267.70999999999998</v>
          </cell>
          <cell r="GH14">
            <v>268.11</v>
          </cell>
          <cell r="GI14">
            <v>268.36</v>
          </cell>
          <cell r="GJ14">
            <v>269.85000000000002</v>
          </cell>
          <cell r="GK14">
            <v>271.22000000000003</v>
          </cell>
          <cell r="GL14">
            <v>272.67</v>
          </cell>
          <cell r="GM14">
            <v>274.27</v>
          </cell>
          <cell r="GN14">
            <v>275.7</v>
          </cell>
          <cell r="GO14">
            <v>276.02</v>
          </cell>
          <cell r="GP14">
            <v>276.26</v>
          </cell>
          <cell r="GQ14">
            <v>276.85000000000002</v>
          </cell>
          <cell r="GR14">
            <v>278.36</v>
          </cell>
          <cell r="GS14">
            <v>279.92</v>
          </cell>
          <cell r="GT14">
            <v>281.41000000000003</v>
          </cell>
          <cell r="GU14">
            <v>283.02</v>
          </cell>
          <cell r="GV14">
            <v>283.63</v>
          </cell>
          <cell r="GW14">
            <v>283.89999999999998</v>
          </cell>
          <cell r="GX14">
            <v>285.5</v>
          </cell>
          <cell r="GY14">
            <v>287.07</v>
          </cell>
          <cell r="GZ14">
            <v>288.64</v>
          </cell>
          <cell r="HA14">
            <v>290.13</v>
          </cell>
          <cell r="HB14">
            <v>291.45</v>
          </cell>
          <cell r="HC14">
            <v>292.22000000000003</v>
          </cell>
          <cell r="HD14">
            <v>292.56</v>
          </cell>
          <cell r="HE14">
            <v>293.81</v>
          </cell>
          <cell r="HF14">
            <v>295.18</v>
          </cell>
          <cell r="HG14">
            <v>296.41000000000003</v>
          </cell>
          <cell r="HH14">
            <v>297.85000000000002</v>
          </cell>
          <cell r="HI14">
            <v>299.32</v>
          </cell>
          <cell r="HJ14">
            <v>299.72000000000003</v>
          </cell>
          <cell r="HK14">
            <v>300.02</v>
          </cell>
          <cell r="HL14">
            <v>301.52999999999997</v>
          </cell>
          <cell r="HM14">
            <v>302.8</v>
          </cell>
          <cell r="HN14">
            <v>304.26</v>
          </cell>
          <cell r="HO14">
            <v>305.77999999999997</v>
          </cell>
          <cell r="HP14">
            <v>307.39</v>
          </cell>
          <cell r="HQ14">
            <v>307.74</v>
          </cell>
          <cell r="HR14">
            <v>308.02999999999997</v>
          </cell>
          <cell r="HS14">
            <v>308.49</v>
          </cell>
          <cell r="HT14">
            <v>309.45999999999998</v>
          </cell>
          <cell r="HU14">
            <v>310.41000000000003</v>
          </cell>
          <cell r="HV14">
            <v>311.36</v>
          </cell>
          <cell r="HW14">
            <v>312.06</v>
          </cell>
          <cell r="HX14">
            <v>312.35000000000002</v>
          </cell>
          <cell r="HY14">
            <v>312.61</v>
          </cell>
          <cell r="HZ14">
            <v>313.56</v>
          </cell>
          <cell r="IA14">
            <v>314.48</v>
          </cell>
          <cell r="IB14">
            <v>314.56</v>
          </cell>
          <cell r="IC14">
            <v>315.51</v>
          </cell>
          <cell r="ID14">
            <v>316.45999999999998</v>
          </cell>
          <cell r="IE14">
            <v>317.16000000000003</v>
          </cell>
          <cell r="IF14">
            <v>317.41000000000003</v>
          </cell>
          <cell r="IG14">
            <v>318.70999999999998</v>
          </cell>
          <cell r="IH14">
            <v>320.22000000000003</v>
          </cell>
          <cell r="II14">
            <v>321.76</v>
          </cell>
          <cell r="IJ14">
            <v>323.27999999999997</v>
          </cell>
          <cell r="IK14">
            <v>324.89</v>
          </cell>
          <cell r="IL14">
            <v>325.2</v>
          </cell>
          <cell r="IM14">
            <v>325.45999999999998</v>
          </cell>
          <cell r="IN14">
            <v>325.95999999999998</v>
          </cell>
          <cell r="IO14">
            <v>326.58</v>
          </cell>
          <cell r="IP14">
            <v>326.83999999999997</v>
          </cell>
          <cell r="IQ14">
            <v>327</v>
          </cell>
          <cell r="IR14">
            <v>327.18</v>
          </cell>
          <cell r="IS14">
            <v>327.39</v>
          </cell>
          <cell r="IT14">
            <v>327.52999999999997</v>
          </cell>
          <cell r="IU14">
            <v>327.72</v>
          </cell>
          <cell r="IV14">
            <v>327.9</v>
          </cell>
          <cell r="IW14">
            <v>328.08</v>
          </cell>
          <cell r="IX14">
            <v>328.22</v>
          </cell>
          <cell r="IY14">
            <v>328.41</v>
          </cell>
          <cell r="IZ14">
            <v>328.56</v>
          </cell>
          <cell r="JA14">
            <v>328.7</v>
          </cell>
          <cell r="JB14">
            <v>328.7</v>
          </cell>
          <cell r="JC14">
            <v>329.24</v>
          </cell>
          <cell r="JD14">
            <v>330.31</v>
          </cell>
          <cell r="JE14">
            <v>331.73</v>
          </cell>
          <cell r="JF14">
            <v>333.11</v>
          </cell>
          <cell r="JG14">
            <v>333.42</v>
          </cell>
          <cell r="JH14">
            <v>333.65</v>
          </cell>
          <cell r="JI14">
            <v>334.18</v>
          </cell>
          <cell r="JJ14">
            <v>335.21</v>
          </cell>
          <cell r="JK14">
            <v>335.51</v>
          </cell>
          <cell r="JL14">
            <v>336.17</v>
          </cell>
          <cell r="JM14">
            <v>337.67</v>
          </cell>
          <cell r="JN14">
            <v>337.98</v>
          </cell>
          <cell r="JO14">
            <v>338.34</v>
          </cell>
          <cell r="JP14">
            <v>338.63</v>
          </cell>
          <cell r="JQ14">
            <v>339.42</v>
          </cell>
          <cell r="JR14">
            <v>340.26</v>
          </cell>
          <cell r="JS14">
            <v>340.98</v>
          </cell>
          <cell r="JT14">
            <v>341.29</v>
          </cell>
          <cell r="JU14">
            <v>341.58</v>
          </cell>
          <cell r="JV14">
            <v>341.81</v>
          </cell>
          <cell r="JW14">
            <v>342.31</v>
          </cell>
          <cell r="JX14">
            <v>342.61</v>
          </cell>
          <cell r="JY14">
            <v>342.84</v>
          </cell>
          <cell r="JZ14">
            <v>343.03</v>
          </cell>
          <cell r="KA14">
            <v>343.23</v>
          </cell>
          <cell r="KB14">
            <v>343.41</v>
          </cell>
          <cell r="KC14">
            <v>343.55</v>
          </cell>
          <cell r="KD14">
            <v>343.7</v>
          </cell>
          <cell r="KE14">
            <v>343.86</v>
          </cell>
          <cell r="KF14">
            <v>344.03</v>
          </cell>
          <cell r="KG14">
            <v>344.19</v>
          </cell>
          <cell r="KH14">
            <v>1344.35</v>
          </cell>
          <cell r="KI14">
            <v>344.5</v>
          </cell>
          <cell r="KJ14">
            <v>344.65</v>
          </cell>
          <cell r="KK14">
            <v>344.82</v>
          </cell>
          <cell r="KL14">
            <v>344.98</v>
          </cell>
          <cell r="KM14">
            <v>345.14</v>
          </cell>
          <cell r="KN14">
            <v>345.3</v>
          </cell>
          <cell r="KO14">
            <v>345.46</v>
          </cell>
          <cell r="KP14">
            <v>345.47999999999996</v>
          </cell>
          <cell r="KQ14">
            <v>345.51</v>
          </cell>
          <cell r="KR14">
            <v>345.52</v>
          </cell>
          <cell r="KS14">
            <v>345.53</v>
          </cell>
          <cell r="KT14">
            <v>345.54</v>
          </cell>
          <cell r="KU14">
            <v>345.55</v>
          </cell>
          <cell r="KV14">
            <v>345.56</v>
          </cell>
          <cell r="KW14">
            <v>345.65</v>
          </cell>
          <cell r="KX14">
            <v>345.75</v>
          </cell>
          <cell r="KY14">
            <v>345.85</v>
          </cell>
          <cell r="KZ14">
            <v>345.96</v>
          </cell>
          <cell r="LA14">
            <v>346.06</v>
          </cell>
          <cell r="LB14">
            <v>346.17</v>
          </cell>
          <cell r="LC14">
            <v>346.28</v>
          </cell>
          <cell r="LD14">
            <v>346.4</v>
          </cell>
          <cell r="LE14">
            <v>346.51</v>
          </cell>
          <cell r="LF14">
            <v>346.62</v>
          </cell>
          <cell r="LG14">
            <v>346.78</v>
          </cell>
          <cell r="LH14">
            <v>346.98</v>
          </cell>
          <cell r="LI14">
            <v>347.12</v>
          </cell>
          <cell r="LJ14">
            <v>347.24</v>
          </cell>
          <cell r="LK14">
            <v>347.38</v>
          </cell>
          <cell r="LL14">
            <v>347.49</v>
          </cell>
          <cell r="LM14">
            <v>347.61</v>
          </cell>
          <cell r="LN14">
            <v>347.73</v>
          </cell>
          <cell r="LO14">
            <v>347.75</v>
          </cell>
          <cell r="LP14">
            <v>347.75</v>
          </cell>
          <cell r="LQ14">
            <v>347.75</v>
          </cell>
          <cell r="LR14">
            <v>347.75</v>
          </cell>
          <cell r="LS14">
            <v>347.75</v>
          </cell>
          <cell r="LT14">
            <v>347.75</v>
          </cell>
          <cell r="LU14">
            <v>347.75</v>
          </cell>
          <cell r="LV14">
            <v>347.75</v>
          </cell>
          <cell r="LW14">
            <v>347.75</v>
          </cell>
          <cell r="LX14">
            <v>347.75</v>
          </cell>
          <cell r="LY14">
            <v>347.75</v>
          </cell>
          <cell r="LZ14">
            <v>347.75</v>
          </cell>
          <cell r="MA14">
            <v>347.75</v>
          </cell>
          <cell r="MB14">
            <v>0</v>
          </cell>
          <cell r="MC14">
            <v>0</v>
          </cell>
          <cell r="MD14">
            <v>0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</row>
        <row r="15">
          <cell r="A15" t="str">
            <v>sd 46</v>
          </cell>
          <cell r="B15">
            <v>19.68</v>
          </cell>
          <cell r="C15">
            <v>19.850000000000001</v>
          </cell>
          <cell r="D15">
            <v>20.03</v>
          </cell>
          <cell r="E15">
            <v>20.22</v>
          </cell>
          <cell r="F15">
            <v>20.399999999999999</v>
          </cell>
          <cell r="G15">
            <v>20.58</v>
          </cell>
          <cell r="H15">
            <v>20.75</v>
          </cell>
          <cell r="I15">
            <v>20.92</v>
          </cell>
          <cell r="J15">
            <v>22</v>
          </cell>
          <cell r="K15">
            <v>23.23</v>
          </cell>
          <cell r="L15">
            <v>24.39</v>
          </cell>
          <cell r="M15">
            <v>25.15</v>
          </cell>
          <cell r="N15">
            <v>25.36</v>
          </cell>
          <cell r="O15">
            <v>25.55</v>
          </cell>
          <cell r="P15">
            <v>25.77</v>
          </cell>
          <cell r="Q15">
            <v>26.97</v>
          </cell>
          <cell r="R15">
            <v>28.14</v>
          </cell>
          <cell r="S15">
            <v>29.32</v>
          </cell>
          <cell r="T15">
            <v>29.55</v>
          </cell>
          <cell r="U15">
            <v>29.75</v>
          </cell>
          <cell r="V15">
            <v>29.96</v>
          </cell>
          <cell r="W15">
            <v>30.14</v>
          </cell>
          <cell r="X15">
            <v>31.2</v>
          </cell>
          <cell r="Y15">
            <v>32.28</v>
          </cell>
          <cell r="Z15">
            <v>33.4</v>
          </cell>
          <cell r="AA15">
            <v>34.43</v>
          </cell>
          <cell r="AB15">
            <v>35.07</v>
          </cell>
          <cell r="AC15">
            <v>35.26</v>
          </cell>
          <cell r="AD15">
            <v>35.47</v>
          </cell>
          <cell r="AE15">
            <v>36.6</v>
          </cell>
          <cell r="AF15">
            <v>37.74</v>
          </cell>
          <cell r="AG15">
            <v>38.79</v>
          </cell>
          <cell r="AH15">
            <v>39.880000000000003</v>
          </cell>
          <cell r="AI15">
            <v>40.26</v>
          </cell>
          <cell r="AJ15">
            <v>40.46</v>
          </cell>
          <cell r="AK15">
            <v>40.630000000000003</v>
          </cell>
          <cell r="AL15">
            <v>40.83</v>
          </cell>
          <cell r="AM15">
            <v>42</v>
          </cell>
          <cell r="AN15">
            <v>43.11</v>
          </cell>
          <cell r="AO15">
            <v>43.64</v>
          </cell>
          <cell r="AP15">
            <v>43.85</v>
          </cell>
          <cell r="AQ15">
            <v>44.06</v>
          </cell>
          <cell r="AR15">
            <v>44.27</v>
          </cell>
          <cell r="AS15">
            <v>45.31</v>
          </cell>
          <cell r="AT15">
            <v>46.31</v>
          </cell>
          <cell r="AU15">
            <v>47.49</v>
          </cell>
          <cell r="AV15">
            <v>48.52</v>
          </cell>
          <cell r="AW15">
            <v>48.73</v>
          </cell>
          <cell r="AX15">
            <v>48.93</v>
          </cell>
          <cell r="AY15">
            <v>49.15</v>
          </cell>
          <cell r="AZ15">
            <v>50.32</v>
          </cell>
          <cell r="BA15">
            <v>51.41</v>
          </cell>
          <cell r="BB15">
            <v>52.54</v>
          </cell>
          <cell r="BC15">
            <v>53.1</v>
          </cell>
          <cell r="BD15">
            <v>53.21</v>
          </cell>
          <cell r="BE15">
            <v>53.46</v>
          </cell>
          <cell r="BF15">
            <v>53.68</v>
          </cell>
          <cell r="BG15">
            <v>54.75</v>
          </cell>
          <cell r="BH15">
            <v>55.99</v>
          </cell>
          <cell r="BI15">
            <v>57.15</v>
          </cell>
          <cell r="BJ15">
            <v>58.18</v>
          </cell>
          <cell r="BK15">
            <v>58.39</v>
          </cell>
          <cell r="BL15">
            <v>58.59</v>
          </cell>
          <cell r="BM15">
            <v>58.81</v>
          </cell>
          <cell r="BN15">
            <v>59.12</v>
          </cell>
          <cell r="BO15">
            <v>59.74</v>
          </cell>
          <cell r="BP15">
            <v>60.44</v>
          </cell>
          <cell r="BQ15">
            <v>61.22</v>
          </cell>
          <cell r="BR15">
            <v>61.9</v>
          </cell>
          <cell r="BS15">
            <v>62.1</v>
          </cell>
          <cell r="BT15">
            <v>62.3</v>
          </cell>
          <cell r="BU15">
            <v>63.09</v>
          </cell>
          <cell r="BV15">
            <v>63.87</v>
          </cell>
          <cell r="BW15">
            <v>64.650000000000006</v>
          </cell>
          <cell r="BX15">
            <v>65.290000000000006</v>
          </cell>
          <cell r="BY15">
            <v>65.489999999999995</v>
          </cell>
          <cell r="BZ15">
            <v>65.680000000000007</v>
          </cell>
          <cell r="CA15">
            <v>65.87</v>
          </cell>
          <cell r="CB15">
            <v>66.069999999999993</v>
          </cell>
          <cell r="CC15">
            <v>66.89</v>
          </cell>
          <cell r="CD15">
            <v>67.67</v>
          </cell>
          <cell r="CE15">
            <v>68.3</v>
          </cell>
          <cell r="CF15">
            <v>68.52</v>
          </cell>
          <cell r="CG15">
            <v>68.72</v>
          </cell>
          <cell r="CH15">
            <v>68.95</v>
          </cell>
          <cell r="CI15">
            <v>69.69</v>
          </cell>
          <cell r="CJ15">
            <v>70.47</v>
          </cell>
          <cell r="CK15">
            <v>71.13</v>
          </cell>
          <cell r="CL15">
            <v>71.67</v>
          </cell>
          <cell r="CM15">
            <v>71.86</v>
          </cell>
          <cell r="CN15">
            <v>72.05</v>
          </cell>
          <cell r="CO15">
            <v>72.260000000000005</v>
          </cell>
          <cell r="CP15">
            <v>73.45</v>
          </cell>
          <cell r="CQ15">
            <v>74.650000000000006</v>
          </cell>
          <cell r="CR15">
            <v>75.739999999999995</v>
          </cell>
          <cell r="CS15">
            <v>76.790000000000006</v>
          </cell>
          <cell r="CT15">
            <v>77.92</v>
          </cell>
          <cell r="CU15">
            <v>78.430000000000007</v>
          </cell>
          <cell r="CV15">
            <v>78.64</v>
          </cell>
          <cell r="CW15">
            <v>79.33</v>
          </cell>
          <cell r="CX15">
            <v>80.28</v>
          </cell>
          <cell r="CY15">
            <v>81.2</v>
          </cell>
          <cell r="CZ15">
            <v>81.83</v>
          </cell>
          <cell r="DA15">
            <v>82.04</v>
          </cell>
          <cell r="DB15">
            <v>82.26</v>
          </cell>
          <cell r="DC15">
            <v>82.42</v>
          </cell>
          <cell r="DD15">
            <v>82.6</v>
          </cell>
          <cell r="DE15">
            <v>82.8</v>
          </cell>
          <cell r="DF15">
            <v>82.97</v>
          </cell>
          <cell r="DG15">
            <v>83.17</v>
          </cell>
          <cell r="DH15">
            <v>83.32</v>
          </cell>
          <cell r="DI15">
            <v>83.47</v>
          </cell>
          <cell r="DJ15">
            <v>83.47</v>
          </cell>
          <cell r="DK15">
            <v>83.88</v>
          </cell>
          <cell r="DL15">
            <v>85.01</v>
          </cell>
          <cell r="DM15">
            <v>85.84</v>
          </cell>
          <cell r="DN15">
            <v>86.98</v>
          </cell>
          <cell r="DO15">
            <v>87.93</v>
          </cell>
          <cell r="DP15">
            <v>88.31</v>
          </cell>
          <cell r="DQ15">
            <v>88.48</v>
          </cell>
          <cell r="DR15">
            <v>89.6</v>
          </cell>
          <cell r="DS15">
            <v>90.58</v>
          </cell>
          <cell r="DT15">
            <v>90.83</v>
          </cell>
          <cell r="DU15">
            <v>91.95</v>
          </cell>
          <cell r="DV15">
            <v>92.37</v>
          </cell>
          <cell r="DW15">
            <v>92.55</v>
          </cell>
          <cell r="DX15">
            <v>92.76</v>
          </cell>
          <cell r="DY15">
            <v>92.96</v>
          </cell>
          <cell r="DZ15">
            <v>94.12</v>
          </cell>
          <cell r="EA15">
            <v>95.23</v>
          </cell>
          <cell r="EB15">
            <v>95.86</v>
          </cell>
          <cell r="EC15">
            <v>96.09</v>
          </cell>
          <cell r="ED15">
            <v>96.27</v>
          </cell>
          <cell r="EE15">
            <v>94.07</v>
          </cell>
          <cell r="EF15">
            <v>94.63069999999999</v>
          </cell>
          <cell r="EG15">
            <v>96.45</v>
          </cell>
          <cell r="EH15">
            <v>93.920000000000016</v>
          </cell>
          <cell r="EI15">
            <v>100.59</v>
          </cell>
          <cell r="EJ15">
            <v>100.79</v>
          </cell>
          <cell r="EK15">
            <v>101.04</v>
          </cell>
          <cell r="EL15">
            <v>101.17</v>
          </cell>
          <cell r="EM15">
            <v>102.28</v>
          </cell>
          <cell r="EN15">
            <v>103.45</v>
          </cell>
          <cell r="EO15">
            <v>104.66</v>
          </cell>
          <cell r="EP15">
            <v>105.1</v>
          </cell>
          <cell r="EQ15">
            <v>105.3</v>
          </cell>
          <cell r="ER15">
            <v>105.51</v>
          </cell>
          <cell r="ES15">
            <v>105.69</v>
          </cell>
          <cell r="ET15">
            <v>106.91</v>
          </cell>
          <cell r="EU15">
            <v>108.03</v>
          </cell>
          <cell r="EV15">
            <v>109.27</v>
          </cell>
          <cell r="EW15">
            <v>110.32</v>
          </cell>
          <cell r="EX15">
            <v>110.55</v>
          </cell>
          <cell r="EY15">
            <v>110.75</v>
          </cell>
          <cell r="EZ15">
            <v>111</v>
          </cell>
          <cell r="FA15">
            <v>112.16</v>
          </cell>
          <cell r="FB15">
            <v>113.29</v>
          </cell>
          <cell r="FC15">
            <v>114.46</v>
          </cell>
          <cell r="FD15">
            <v>114.74</v>
          </cell>
          <cell r="FE15">
            <v>114.9</v>
          </cell>
          <cell r="FF15">
            <v>115.06</v>
          </cell>
          <cell r="FG15">
            <v>115.25</v>
          </cell>
          <cell r="FH15">
            <v>116.45</v>
          </cell>
          <cell r="FI15">
            <v>117.61</v>
          </cell>
          <cell r="FJ15">
            <v>118.72</v>
          </cell>
          <cell r="FK15">
            <v>119.72</v>
          </cell>
          <cell r="FL15">
            <v>119.92</v>
          </cell>
          <cell r="FM15">
            <v>119.96</v>
          </cell>
          <cell r="FN15">
            <v>120.07</v>
          </cell>
          <cell r="FO15">
            <v>120.39</v>
          </cell>
          <cell r="FP15">
            <v>121.48</v>
          </cell>
          <cell r="FQ15">
            <v>122.62</v>
          </cell>
          <cell r="FR15">
            <v>123.6</v>
          </cell>
          <cell r="FS15">
            <v>124.48</v>
          </cell>
          <cell r="FT15">
            <v>124.67</v>
          </cell>
          <cell r="FU15">
            <v>124.89</v>
          </cell>
          <cell r="FV15">
            <v>126.02</v>
          </cell>
          <cell r="FW15">
            <v>127.22</v>
          </cell>
          <cell r="FX15">
            <v>128.38</v>
          </cell>
          <cell r="FY15">
            <v>129.38</v>
          </cell>
          <cell r="FZ15">
            <v>129.57</v>
          </cell>
          <cell r="GA15">
            <v>129.74</v>
          </cell>
          <cell r="GB15">
            <v>129.93</v>
          </cell>
          <cell r="GC15">
            <v>131.03</v>
          </cell>
          <cell r="GD15">
            <v>132.11000000000001</v>
          </cell>
          <cell r="GE15">
            <v>133.31</v>
          </cell>
          <cell r="GF15">
            <v>133.96</v>
          </cell>
          <cell r="GG15">
            <v>134.15</v>
          </cell>
          <cell r="GH15">
            <v>134.37</v>
          </cell>
          <cell r="GI15">
            <v>134.53</v>
          </cell>
          <cell r="GJ15">
            <v>135.46</v>
          </cell>
          <cell r="GK15">
            <v>136.53</v>
          </cell>
          <cell r="GL15">
            <v>137.6</v>
          </cell>
          <cell r="GM15">
            <v>138.69</v>
          </cell>
          <cell r="GN15">
            <v>139.38</v>
          </cell>
          <cell r="GO15">
            <v>139.59</v>
          </cell>
          <cell r="GP15">
            <v>139.76</v>
          </cell>
          <cell r="GQ15">
            <v>140.86000000000001</v>
          </cell>
          <cell r="GR15">
            <v>141.93</v>
          </cell>
          <cell r="GS15">
            <v>142.9</v>
          </cell>
          <cell r="GT15">
            <v>143.56</v>
          </cell>
          <cell r="GU15">
            <v>143.94</v>
          </cell>
          <cell r="GV15">
            <v>144.13</v>
          </cell>
          <cell r="GW15">
            <v>144.31</v>
          </cell>
          <cell r="GX15">
            <v>145.5</v>
          </cell>
          <cell r="GY15">
            <v>146.6</v>
          </cell>
          <cell r="GZ15">
            <v>147.69</v>
          </cell>
          <cell r="HA15">
            <v>148.76</v>
          </cell>
          <cell r="HB15">
            <v>148.97</v>
          </cell>
          <cell r="HC15">
            <v>149.16</v>
          </cell>
          <cell r="HD15">
            <v>149.32</v>
          </cell>
          <cell r="HE15">
            <v>149.59</v>
          </cell>
          <cell r="HF15">
            <v>150.21</v>
          </cell>
          <cell r="HG15">
            <v>150.81</v>
          </cell>
          <cell r="HH15">
            <v>151.35</v>
          </cell>
          <cell r="HI15">
            <v>151.71</v>
          </cell>
          <cell r="HJ15">
            <v>151.99</v>
          </cell>
          <cell r="HK15">
            <v>152.19999999999999</v>
          </cell>
          <cell r="HL15">
            <v>152.57</v>
          </cell>
          <cell r="HM15">
            <v>153.63</v>
          </cell>
          <cell r="HN15">
            <v>154.33000000000001</v>
          </cell>
          <cell r="HO15">
            <v>155.06</v>
          </cell>
          <cell r="HP15">
            <v>155.30000000000001</v>
          </cell>
          <cell r="HQ15">
            <v>155.47</v>
          </cell>
          <cell r="HR15">
            <v>155.66999999999999</v>
          </cell>
          <cell r="HS15">
            <v>156.84</v>
          </cell>
          <cell r="HT15">
            <v>157.96</v>
          </cell>
          <cell r="HU15">
            <v>159.05000000000001</v>
          </cell>
          <cell r="HV15">
            <v>159.69999999999999</v>
          </cell>
          <cell r="HW15">
            <v>160.12</v>
          </cell>
          <cell r="HX15">
            <v>160.33000000000001</v>
          </cell>
          <cell r="HY15">
            <v>160.53</v>
          </cell>
          <cell r="HZ15">
            <v>161.38999999999999</v>
          </cell>
          <cell r="IA15">
            <v>162.18</v>
          </cell>
          <cell r="IB15">
            <v>162.32</v>
          </cell>
          <cell r="IC15">
            <v>163.15</v>
          </cell>
          <cell r="ID15">
            <v>164.94</v>
          </cell>
          <cell r="IE15">
            <v>164.94</v>
          </cell>
          <cell r="IF15">
            <v>165.37</v>
          </cell>
          <cell r="IG15">
            <v>166.37</v>
          </cell>
          <cell r="IH15">
            <v>167.44</v>
          </cell>
          <cell r="II15">
            <v>168.51</v>
          </cell>
          <cell r="IJ15">
            <v>169.18</v>
          </cell>
          <cell r="IK15">
            <v>170.22</v>
          </cell>
          <cell r="IL15">
            <v>171.27</v>
          </cell>
          <cell r="IM15">
            <v>172.24</v>
          </cell>
          <cell r="IN15">
            <v>173.3</v>
          </cell>
          <cell r="IO15">
            <v>174.33</v>
          </cell>
          <cell r="IP15">
            <v>174.78</v>
          </cell>
          <cell r="IQ15">
            <v>175.69</v>
          </cell>
          <cell r="IR15">
            <v>176.76</v>
          </cell>
          <cell r="IS15">
            <v>177.96</v>
          </cell>
          <cell r="IT15">
            <v>178.87</v>
          </cell>
          <cell r="IU15">
            <v>179.87</v>
          </cell>
          <cell r="IV15">
            <v>180.94</v>
          </cell>
          <cell r="IW15">
            <v>181.83</v>
          </cell>
          <cell r="IX15">
            <v>182.84</v>
          </cell>
          <cell r="IY15">
            <v>184.01</v>
          </cell>
          <cell r="IZ15">
            <v>185.03</v>
          </cell>
          <cell r="JA15">
            <v>185.88</v>
          </cell>
          <cell r="JB15">
            <v>185.88</v>
          </cell>
          <cell r="JC15">
            <v>187.14</v>
          </cell>
          <cell r="JD15">
            <v>187.78</v>
          </cell>
          <cell r="JE15">
            <v>188.88</v>
          </cell>
          <cell r="JF15">
            <v>189.63</v>
          </cell>
          <cell r="JG15">
            <v>190.84</v>
          </cell>
          <cell r="JH15">
            <v>191.28</v>
          </cell>
          <cell r="JI15">
            <v>192.47</v>
          </cell>
          <cell r="JJ15">
            <v>193.56</v>
          </cell>
          <cell r="JK15">
            <v>194.63</v>
          </cell>
          <cell r="JL15">
            <v>195.14</v>
          </cell>
          <cell r="JM15">
            <v>195.32</v>
          </cell>
          <cell r="JN15">
            <v>196.34</v>
          </cell>
          <cell r="JO15">
            <v>195.67</v>
          </cell>
          <cell r="JP15">
            <v>195.87</v>
          </cell>
          <cell r="JQ15">
            <v>196.06</v>
          </cell>
          <cell r="JR15">
            <v>196.83</v>
          </cell>
          <cell r="JS15">
            <v>197.85</v>
          </cell>
          <cell r="JT15">
            <v>198.16</v>
          </cell>
          <cell r="JU15">
            <v>198.31</v>
          </cell>
          <cell r="JV15">
            <v>198.56</v>
          </cell>
          <cell r="JW15">
            <v>198.77</v>
          </cell>
          <cell r="JX15">
            <v>198.97</v>
          </cell>
          <cell r="JY15">
            <v>199.17</v>
          </cell>
          <cell r="JZ15">
            <v>199.37</v>
          </cell>
          <cell r="KA15">
            <v>199.59</v>
          </cell>
          <cell r="KB15">
            <v>199.8</v>
          </cell>
          <cell r="KC15">
            <v>199.98</v>
          </cell>
          <cell r="KD15">
            <v>200.93</v>
          </cell>
          <cell r="KE15">
            <v>202.02</v>
          </cell>
          <cell r="KF15">
            <v>203.19</v>
          </cell>
          <cell r="KG15">
            <v>204.26</v>
          </cell>
          <cell r="KH15">
            <v>204.41</v>
          </cell>
          <cell r="KI15">
            <v>204.59</v>
          </cell>
          <cell r="KJ15">
            <v>204.77</v>
          </cell>
          <cell r="KK15">
            <v>205.24</v>
          </cell>
          <cell r="KL15">
            <v>206.31</v>
          </cell>
          <cell r="KM15">
            <v>206.97</v>
          </cell>
          <cell r="KN15">
            <v>207.19</v>
          </cell>
          <cell r="KO15">
            <v>207.38</v>
          </cell>
          <cell r="KP15">
            <v>207.48</v>
          </cell>
          <cell r="KQ15">
            <v>207.62</v>
          </cell>
          <cell r="KR15">
            <v>208.78</v>
          </cell>
          <cell r="KS15">
            <v>209.91</v>
          </cell>
          <cell r="KT15">
            <v>211.01</v>
          </cell>
          <cell r="KU15">
            <v>211.92</v>
          </cell>
          <cell r="KV15">
            <v>212.13</v>
          </cell>
          <cell r="KW15">
            <v>212.34</v>
          </cell>
          <cell r="KX15">
            <v>212.51</v>
          </cell>
          <cell r="KY15">
            <v>212.7</v>
          </cell>
          <cell r="KZ15">
            <v>212.9</v>
          </cell>
          <cell r="LA15">
            <v>213.26</v>
          </cell>
          <cell r="LB15">
            <v>213.45</v>
          </cell>
          <cell r="LC15">
            <v>213.65</v>
          </cell>
          <cell r="LD15">
            <v>213.83</v>
          </cell>
          <cell r="LE15">
            <v>214.02</v>
          </cell>
          <cell r="LF15">
            <v>215.12</v>
          </cell>
          <cell r="LG15">
            <v>216.2</v>
          </cell>
          <cell r="LH15">
            <v>217.25</v>
          </cell>
          <cell r="LI15">
            <v>217.67</v>
          </cell>
          <cell r="LJ15">
            <v>217.85</v>
          </cell>
          <cell r="LK15">
            <v>218.06</v>
          </cell>
          <cell r="LL15">
            <v>218.22</v>
          </cell>
          <cell r="LM15">
            <v>218.52</v>
          </cell>
          <cell r="LN15">
            <v>219.64</v>
          </cell>
          <cell r="LO15">
            <v>220.37</v>
          </cell>
          <cell r="LP15">
            <v>220.54</v>
          </cell>
          <cell r="LQ15">
            <v>220.73</v>
          </cell>
          <cell r="LR15">
            <v>220.91</v>
          </cell>
          <cell r="LS15">
            <v>221.08</v>
          </cell>
          <cell r="LT15">
            <v>221.49</v>
          </cell>
          <cell r="LU15">
            <v>222.64</v>
          </cell>
          <cell r="LV15">
            <v>223.35</v>
          </cell>
          <cell r="LW15">
            <v>223.53</v>
          </cell>
          <cell r="LX15">
            <v>223.73</v>
          </cell>
          <cell r="LY15">
            <v>223.89</v>
          </cell>
          <cell r="LZ15">
            <v>224.06</v>
          </cell>
          <cell r="MA15">
            <v>225.05</v>
          </cell>
          <cell r="MB15">
            <v>0</v>
          </cell>
          <cell r="MC15">
            <v>0</v>
          </cell>
          <cell r="MD15">
            <v>0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</row>
        <row r="16">
          <cell r="A16" t="str">
            <v>sd 47</v>
          </cell>
          <cell r="B16">
            <v>15.45</v>
          </cell>
          <cell r="C16">
            <v>15.61</v>
          </cell>
          <cell r="D16">
            <v>15.79</v>
          </cell>
          <cell r="E16">
            <v>15.91</v>
          </cell>
          <cell r="F16">
            <v>16.09</v>
          </cell>
          <cell r="G16">
            <v>16.47</v>
          </cell>
          <cell r="H16">
            <v>16.68</v>
          </cell>
          <cell r="I16">
            <v>16.89</v>
          </cell>
          <cell r="J16">
            <v>17.47</v>
          </cell>
          <cell r="K16">
            <v>18.09</v>
          </cell>
          <cell r="L16">
            <v>18.61</v>
          </cell>
          <cell r="M16">
            <v>19.41</v>
          </cell>
          <cell r="N16">
            <v>19.89</v>
          </cell>
          <cell r="O16">
            <v>20.079999999999998</v>
          </cell>
          <cell r="P16">
            <v>20.29</v>
          </cell>
          <cell r="Q16">
            <v>21.08</v>
          </cell>
          <cell r="R16">
            <v>21.84</v>
          </cell>
          <cell r="S16">
            <v>22.4</v>
          </cell>
          <cell r="T16">
            <v>22.98</v>
          </cell>
          <cell r="U16">
            <v>23.43</v>
          </cell>
          <cell r="V16">
            <v>23.61</v>
          </cell>
          <cell r="W16">
            <v>23.78</v>
          </cell>
          <cell r="X16">
            <v>24.33</v>
          </cell>
          <cell r="Y16">
            <v>24.93</v>
          </cell>
          <cell r="Z16">
            <v>25.48</v>
          </cell>
          <cell r="AA16">
            <v>26.11</v>
          </cell>
          <cell r="AB16">
            <v>26.58</v>
          </cell>
          <cell r="AC16">
            <v>26.72</v>
          </cell>
          <cell r="AD16">
            <v>26.9</v>
          </cell>
          <cell r="AE16">
            <v>27.5</v>
          </cell>
          <cell r="AF16">
            <v>28.13</v>
          </cell>
          <cell r="AG16">
            <v>28.68</v>
          </cell>
          <cell r="AH16">
            <v>29.45</v>
          </cell>
          <cell r="AI16">
            <v>29.94</v>
          </cell>
          <cell r="AJ16">
            <v>30.12</v>
          </cell>
          <cell r="AK16">
            <v>30.29</v>
          </cell>
          <cell r="AL16">
            <v>30.49</v>
          </cell>
          <cell r="AM16">
            <v>30.97</v>
          </cell>
          <cell r="AN16">
            <v>31.51</v>
          </cell>
          <cell r="AO16">
            <v>32.07</v>
          </cell>
          <cell r="AP16">
            <v>32.56</v>
          </cell>
          <cell r="AQ16">
            <v>32.75</v>
          </cell>
          <cell r="AR16">
            <v>32.950000000000003</v>
          </cell>
          <cell r="AS16">
            <v>33.549999999999997</v>
          </cell>
          <cell r="AT16">
            <v>34.15</v>
          </cell>
          <cell r="AU16">
            <v>34.93</v>
          </cell>
          <cell r="AV16">
            <v>35.450000000000003</v>
          </cell>
          <cell r="AW16">
            <v>36.020000000000003</v>
          </cell>
          <cell r="AX16">
            <v>36.200000000000003</v>
          </cell>
          <cell r="AY16">
            <v>36.409999999999997</v>
          </cell>
          <cell r="AZ16">
            <v>36.96</v>
          </cell>
          <cell r="BA16">
            <v>37.479999999999997</v>
          </cell>
          <cell r="BB16">
            <v>38.11</v>
          </cell>
          <cell r="BC16">
            <v>38.67</v>
          </cell>
          <cell r="BD16">
            <v>39.11</v>
          </cell>
          <cell r="BE16">
            <v>39.299999999999997</v>
          </cell>
          <cell r="BF16">
            <v>39.520000000000003</v>
          </cell>
          <cell r="BG16">
            <v>40.020000000000003</v>
          </cell>
          <cell r="BH16">
            <v>40.840000000000003</v>
          </cell>
          <cell r="BI16">
            <v>41.36</v>
          </cell>
          <cell r="BJ16">
            <v>41.95</v>
          </cell>
          <cell r="BK16">
            <v>42.19</v>
          </cell>
          <cell r="BL16">
            <v>42.36</v>
          </cell>
          <cell r="BM16">
            <v>42.57</v>
          </cell>
          <cell r="BN16">
            <v>43.1</v>
          </cell>
          <cell r="BO16">
            <v>43.66</v>
          </cell>
          <cell r="BP16">
            <v>44.22</v>
          </cell>
          <cell r="BQ16">
            <v>44.72</v>
          </cell>
          <cell r="BR16">
            <v>44.91</v>
          </cell>
          <cell r="BS16">
            <v>45.08</v>
          </cell>
          <cell r="BT16">
            <v>45.25</v>
          </cell>
          <cell r="BU16">
            <v>45.59</v>
          </cell>
          <cell r="BV16">
            <v>45.76</v>
          </cell>
          <cell r="BW16">
            <v>45.96</v>
          </cell>
          <cell r="BX16">
            <v>46.13</v>
          </cell>
          <cell r="BY16">
            <v>46.33</v>
          </cell>
          <cell r="BZ16">
            <v>46.52</v>
          </cell>
          <cell r="CA16">
            <v>46.71</v>
          </cell>
          <cell r="CB16">
            <v>46.89</v>
          </cell>
          <cell r="CC16">
            <v>47.08</v>
          </cell>
          <cell r="CD16">
            <v>47.27</v>
          </cell>
          <cell r="CE16">
            <v>477.46</v>
          </cell>
          <cell r="CF16">
            <v>47.65</v>
          </cell>
          <cell r="CG16">
            <v>47.83</v>
          </cell>
          <cell r="CH16">
            <v>48.01</v>
          </cell>
          <cell r="CI16">
            <v>48.2</v>
          </cell>
          <cell r="CJ16">
            <v>48.38</v>
          </cell>
          <cell r="CK16">
            <v>48.57</v>
          </cell>
          <cell r="CL16">
            <v>48.76</v>
          </cell>
          <cell r="CM16">
            <v>48.95</v>
          </cell>
          <cell r="CN16">
            <v>49.14</v>
          </cell>
          <cell r="CO16">
            <v>49.31</v>
          </cell>
          <cell r="CP16">
            <v>49.51</v>
          </cell>
          <cell r="CQ16">
            <v>49.67</v>
          </cell>
          <cell r="CR16">
            <v>49.79</v>
          </cell>
          <cell r="CS16">
            <v>49.95</v>
          </cell>
          <cell r="CT16">
            <v>50.13</v>
          </cell>
          <cell r="CU16">
            <v>50.3</v>
          </cell>
          <cell r="CV16">
            <v>50.47</v>
          </cell>
          <cell r="CW16">
            <v>51.23</v>
          </cell>
          <cell r="CX16">
            <v>52.01</v>
          </cell>
          <cell r="CY16">
            <v>52.9</v>
          </cell>
          <cell r="CZ16">
            <v>54.04</v>
          </cell>
          <cell r="DA16">
            <v>54.74</v>
          </cell>
          <cell r="DB16">
            <v>55.5</v>
          </cell>
          <cell r="DC16">
            <v>55.8</v>
          </cell>
          <cell r="DD16">
            <v>55.98</v>
          </cell>
          <cell r="DE16">
            <v>56.17</v>
          </cell>
          <cell r="DF16">
            <v>56.3</v>
          </cell>
          <cell r="DG16">
            <v>56.44</v>
          </cell>
          <cell r="DH16">
            <v>56.56</v>
          </cell>
          <cell r="DI16">
            <v>86.7</v>
          </cell>
          <cell r="DJ16">
            <v>86.7</v>
          </cell>
          <cell r="DK16">
            <v>57.2</v>
          </cell>
          <cell r="DL16">
            <v>57.75</v>
          </cell>
          <cell r="DM16">
            <v>58.34</v>
          </cell>
          <cell r="DN16">
            <v>58.99</v>
          </cell>
          <cell r="DO16">
            <v>59.46</v>
          </cell>
          <cell r="DP16">
            <v>59.64</v>
          </cell>
          <cell r="DQ16">
            <v>59.78</v>
          </cell>
          <cell r="DR16">
            <v>60.35</v>
          </cell>
          <cell r="DS16">
            <v>60.88</v>
          </cell>
          <cell r="DT16">
            <v>61.13</v>
          </cell>
          <cell r="DU16">
            <v>61.67</v>
          </cell>
          <cell r="DV16">
            <v>62.04</v>
          </cell>
          <cell r="DW16">
            <v>62.21</v>
          </cell>
          <cell r="DX16">
            <v>62.36</v>
          </cell>
          <cell r="DY16">
            <v>62.58</v>
          </cell>
          <cell r="DZ16">
            <v>63.1</v>
          </cell>
          <cell r="EA16">
            <v>63.67</v>
          </cell>
          <cell r="EB16">
            <v>64.22</v>
          </cell>
          <cell r="EC16">
            <v>64.64</v>
          </cell>
          <cell r="ED16">
            <v>64.86</v>
          </cell>
          <cell r="EE16">
            <v>63.15</v>
          </cell>
          <cell r="EF16">
            <v>63.639499999999998</v>
          </cell>
          <cell r="EG16">
            <v>65.03</v>
          </cell>
          <cell r="EH16">
            <v>62.88</v>
          </cell>
          <cell r="EI16">
            <v>66.25</v>
          </cell>
          <cell r="EJ16">
            <v>66.489999999999995</v>
          </cell>
          <cell r="EK16">
            <v>66.709999999999994</v>
          </cell>
          <cell r="EL16">
            <v>66.84</v>
          </cell>
          <cell r="EM16">
            <v>67.400000000000006</v>
          </cell>
          <cell r="EN16">
            <v>67.930000000000007</v>
          </cell>
          <cell r="EO16">
            <v>68.510000000000005</v>
          </cell>
          <cell r="EP16">
            <v>69.06</v>
          </cell>
          <cell r="EQ16">
            <v>69.58</v>
          </cell>
          <cell r="ER16">
            <v>69.739999999999995</v>
          </cell>
          <cell r="ES16">
            <v>69.88</v>
          </cell>
          <cell r="ET16">
            <v>70.489999999999995</v>
          </cell>
          <cell r="EU16">
            <v>71.010000000000005</v>
          </cell>
          <cell r="EV16">
            <v>71.58</v>
          </cell>
          <cell r="EW16">
            <v>72.2</v>
          </cell>
          <cell r="EX16">
            <v>72.59</v>
          </cell>
          <cell r="EY16">
            <v>72.77</v>
          </cell>
          <cell r="EZ16">
            <v>72.95</v>
          </cell>
          <cell r="FA16">
            <v>73.27</v>
          </cell>
          <cell r="FB16">
            <v>73.849999999999994</v>
          </cell>
          <cell r="FC16">
            <v>74.39</v>
          </cell>
          <cell r="FD16">
            <v>74.75</v>
          </cell>
          <cell r="FE16">
            <v>74.930000000000007</v>
          </cell>
          <cell r="FF16">
            <v>75.099999999999994</v>
          </cell>
          <cell r="FG16">
            <v>75.3</v>
          </cell>
          <cell r="FH16">
            <v>75.83</v>
          </cell>
          <cell r="FI16">
            <v>76.39</v>
          </cell>
          <cell r="FJ16">
            <v>76.95</v>
          </cell>
          <cell r="FK16">
            <v>77.52</v>
          </cell>
          <cell r="FL16">
            <v>77.77</v>
          </cell>
          <cell r="FM16">
            <v>77.8</v>
          </cell>
          <cell r="FN16">
            <v>77.94</v>
          </cell>
          <cell r="FO16">
            <v>78.48</v>
          </cell>
          <cell r="FP16">
            <v>79.040000000000006</v>
          </cell>
          <cell r="FQ16">
            <v>79.67</v>
          </cell>
          <cell r="FR16">
            <v>80.25</v>
          </cell>
          <cell r="FS16">
            <v>80.81</v>
          </cell>
          <cell r="FT16">
            <v>80.97</v>
          </cell>
          <cell r="FU16">
            <v>81.180000000000007</v>
          </cell>
          <cell r="FV16">
            <v>81.72</v>
          </cell>
          <cell r="FW16">
            <v>82.32</v>
          </cell>
          <cell r="FX16">
            <v>82.83</v>
          </cell>
          <cell r="FY16">
            <v>83.06</v>
          </cell>
          <cell r="FZ16">
            <v>83.28</v>
          </cell>
          <cell r="GA16">
            <v>83.42</v>
          </cell>
          <cell r="GB16">
            <v>83.58</v>
          </cell>
          <cell r="GC16">
            <v>84.12</v>
          </cell>
          <cell r="GD16">
            <v>84.66</v>
          </cell>
          <cell r="GE16">
            <v>85.19</v>
          </cell>
          <cell r="GF16">
            <v>85.95</v>
          </cell>
          <cell r="GG16">
            <v>86.41</v>
          </cell>
          <cell r="GH16">
            <v>86.64</v>
          </cell>
          <cell r="GI16">
            <v>86.81</v>
          </cell>
          <cell r="GJ16">
            <v>87.37</v>
          </cell>
          <cell r="GK16">
            <v>87.92</v>
          </cell>
          <cell r="GL16">
            <v>88.44</v>
          </cell>
          <cell r="GM16">
            <v>88.95</v>
          </cell>
          <cell r="GN16">
            <v>89.13</v>
          </cell>
          <cell r="GO16">
            <v>89.32</v>
          </cell>
          <cell r="GP16">
            <v>89.52</v>
          </cell>
          <cell r="GQ16">
            <v>90.1</v>
          </cell>
          <cell r="GR16">
            <v>90.64</v>
          </cell>
          <cell r="GS16">
            <v>91.22</v>
          </cell>
          <cell r="GT16">
            <v>91.66</v>
          </cell>
          <cell r="GU16">
            <v>91.85</v>
          </cell>
          <cell r="GV16">
            <v>92.04</v>
          </cell>
          <cell r="GW16">
            <v>92.21</v>
          </cell>
          <cell r="GX16">
            <v>92.72</v>
          </cell>
          <cell r="GY16">
            <v>93.21</v>
          </cell>
          <cell r="GZ16">
            <v>93.82</v>
          </cell>
          <cell r="HA16">
            <v>94.5</v>
          </cell>
          <cell r="HB16">
            <v>94.96</v>
          </cell>
          <cell r="HC16">
            <v>95.15</v>
          </cell>
          <cell r="HD16">
            <v>95.32</v>
          </cell>
          <cell r="HE16">
            <v>95.89</v>
          </cell>
          <cell r="HF16">
            <v>96.39</v>
          </cell>
          <cell r="HG16">
            <v>96.97</v>
          </cell>
          <cell r="HH16">
            <v>97.58</v>
          </cell>
          <cell r="HI16">
            <v>97.94</v>
          </cell>
          <cell r="HJ16">
            <v>98.13</v>
          </cell>
          <cell r="HK16">
            <v>98.31</v>
          </cell>
          <cell r="HL16">
            <v>98.54</v>
          </cell>
          <cell r="HM16">
            <v>99.7</v>
          </cell>
          <cell r="HN16">
            <v>100.71</v>
          </cell>
          <cell r="HO16">
            <v>101.42</v>
          </cell>
          <cell r="HP16">
            <v>101.93</v>
          </cell>
          <cell r="HQ16">
            <v>102.09</v>
          </cell>
          <cell r="HR16">
            <v>102.27</v>
          </cell>
          <cell r="HS16">
            <v>102.59</v>
          </cell>
          <cell r="HT16">
            <v>103.2</v>
          </cell>
          <cell r="HU16">
            <v>103.72</v>
          </cell>
          <cell r="HV16">
            <v>104.3</v>
          </cell>
          <cell r="HW16">
            <v>104.83</v>
          </cell>
          <cell r="HX16">
            <v>105.03</v>
          </cell>
          <cell r="HY16">
            <v>105.24</v>
          </cell>
          <cell r="HZ16">
            <v>105.82</v>
          </cell>
          <cell r="IA16">
            <v>106.39</v>
          </cell>
          <cell r="IB16">
            <v>106.48</v>
          </cell>
          <cell r="IC16">
            <v>107.04</v>
          </cell>
          <cell r="ID16">
            <v>107.66</v>
          </cell>
          <cell r="IE16">
            <v>107.66</v>
          </cell>
          <cell r="IF16">
            <v>107.83</v>
          </cell>
          <cell r="IG16">
            <v>108.41</v>
          </cell>
          <cell r="IH16">
            <v>108.67</v>
          </cell>
          <cell r="II16">
            <v>108.88</v>
          </cell>
          <cell r="IJ16">
            <v>109.21</v>
          </cell>
          <cell r="IK16">
            <v>109.41</v>
          </cell>
          <cell r="IL16">
            <v>109.63</v>
          </cell>
          <cell r="IM16">
            <v>109.81</v>
          </cell>
          <cell r="IN16">
            <v>110.01</v>
          </cell>
          <cell r="IO16">
            <v>110.2</v>
          </cell>
          <cell r="IP16">
            <v>110.41</v>
          </cell>
          <cell r="IQ16">
            <v>110.55</v>
          </cell>
          <cell r="IR16">
            <v>110.73</v>
          </cell>
          <cell r="IS16">
            <v>110.92</v>
          </cell>
          <cell r="IT16">
            <v>111.06</v>
          </cell>
          <cell r="IU16">
            <v>111.24</v>
          </cell>
          <cell r="IV16">
            <v>111.42</v>
          </cell>
          <cell r="IW16">
            <v>11.59</v>
          </cell>
          <cell r="IX16">
            <v>112.02</v>
          </cell>
          <cell r="IY16">
            <v>112.3</v>
          </cell>
          <cell r="IZ16">
            <v>112.48</v>
          </cell>
          <cell r="JA16">
            <v>112.64</v>
          </cell>
          <cell r="JB16">
            <v>112.64</v>
          </cell>
          <cell r="JC16">
            <v>113.37</v>
          </cell>
          <cell r="JD16">
            <v>113.92</v>
          </cell>
          <cell r="JE16">
            <v>114.53</v>
          </cell>
          <cell r="JF16">
            <v>114.74</v>
          </cell>
          <cell r="JG16">
            <v>114.94</v>
          </cell>
          <cell r="JH16">
            <v>115.12</v>
          </cell>
          <cell r="JI16">
            <v>115.75</v>
          </cell>
          <cell r="JJ16">
            <v>116.39</v>
          </cell>
          <cell r="JK16">
            <v>117.02</v>
          </cell>
          <cell r="JL16">
            <v>117.72</v>
          </cell>
          <cell r="JM16">
            <v>118.53</v>
          </cell>
          <cell r="JN16">
            <v>118.71000000000001</v>
          </cell>
          <cell r="JO16">
            <v>118.89</v>
          </cell>
          <cell r="JP16">
            <v>119.06</v>
          </cell>
          <cell r="JQ16">
            <v>119.22</v>
          </cell>
          <cell r="JR16">
            <v>119.37</v>
          </cell>
          <cell r="JS16">
            <v>119.54</v>
          </cell>
          <cell r="JT16">
            <v>119.88</v>
          </cell>
          <cell r="JU16">
            <v>120.08</v>
          </cell>
          <cell r="JV16">
            <v>120.27</v>
          </cell>
          <cell r="JW16">
            <v>120.82</v>
          </cell>
          <cell r="JX16">
            <v>121.41</v>
          </cell>
          <cell r="JY16">
            <v>122.18</v>
          </cell>
          <cell r="JZ16">
            <v>122.57</v>
          </cell>
          <cell r="KA16">
            <v>122.87</v>
          </cell>
          <cell r="KB16">
            <v>123.08</v>
          </cell>
          <cell r="KC16">
            <v>123.26</v>
          </cell>
          <cell r="KD16">
            <v>123.81</v>
          </cell>
          <cell r="KE16">
            <v>124.43</v>
          </cell>
          <cell r="KF16">
            <v>125.02</v>
          </cell>
          <cell r="KG16">
            <v>125.58</v>
          </cell>
          <cell r="KH16">
            <v>125.69</v>
          </cell>
          <cell r="KI16">
            <v>125.8</v>
          </cell>
          <cell r="KJ16">
            <v>125.91</v>
          </cell>
          <cell r="KK16">
            <v>126.65</v>
          </cell>
          <cell r="KL16">
            <v>127.25</v>
          </cell>
          <cell r="KM16">
            <v>127.76</v>
          </cell>
          <cell r="KN16">
            <v>128.31</v>
          </cell>
          <cell r="KO16">
            <v>128.5</v>
          </cell>
          <cell r="KP16">
            <v>128.6</v>
          </cell>
          <cell r="KQ16">
            <v>128.75</v>
          </cell>
          <cell r="KR16">
            <v>129.47999999999999</v>
          </cell>
          <cell r="KS16">
            <v>130.11000000000001</v>
          </cell>
          <cell r="KT16">
            <v>130.6</v>
          </cell>
          <cell r="KU16">
            <v>130.79</v>
          </cell>
          <cell r="KV16">
            <v>130.97</v>
          </cell>
          <cell r="KW16">
            <v>131.16</v>
          </cell>
          <cell r="KX16">
            <v>131.31</v>
          </cell>
          <cell r="KY16">
            <v>131.51</v>
          </cell>
          <cell r="KZ16">
            <v>131.69999999999999</v>
          </cell>
          <cell r="LA16">
            <v>131.88999999999999</v>
          </cell>
          <cell r="LB16">
            <v>132.09</v>
          </cell>
          <cell r="LC16">
            <v>132.26</v>
          </cell>
          <cell r="LD16">
            <v>132.41</v>
          </cell>
          <cell r="LE16">
            <v>132.55000000000001</v>
          </cell>
          <cell r="LF16">
            <v>132.69</v>
          </cell>
          <cell r="LG16">
            <v>132.83000000000001</v>
          </cell>
          <cell r="LH16">
            <v>132.97</v>
          </cell>
          <cell r="LI16">
            <v>133.13999999999999</v>
          </cell>
          <cell r="LJ16">
            <v>133.31</v>
          </cell>
          <cell r="LK16">
            <v>133.49</v>
          </cell>
          <cell r="LL16">
            <v>133.63</v>
          </cell>
          <cell r="LM16">
            <v>134.22</v>
          </cell>
          <cell r="LN16">
            <v>134.79</v>
          </cell>
          <cell r="LO16">
            <v>135.34</v>
          </cell>
          <cell r="LP16">
            <v>135.88</v>
          </cell>
          <cell r="LQ16">
            <v>136.56</v>
          </cell>
          <cell r="LR16">
            <v>136.72999999999999</v>
          </cell>
          <cell r="LS16">
            <v>136.93</v>
          </cell>
          <cell r="LT16">
            <v>137.52000000000001</v>
          </cell>
          <cell r="LU16">
            <v>138.13</v>
          </cell>
          <cell r="LV16">
            <v>138.71</v>
          </cell>
          <cell r="LW16">
            <v>139.19</v>
          </cell>
          <cell r="LX16">
            <v>139.79</v>
          </cell>
          <cell r="LY16">
            <v>140.03</v>
          </cell>
          <cell r="LZ16">
            <v>140.19</v>
          </cell>
          <cell r="MA16">
            <v>140.41</v>
          </cell>
          <cell r="MB16">
            <v>0</v>
          </cell>
          <cell r="MC16">
            <v>0</v>
          </cell>
          <cell r="MD16">
            <v>0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</row>
        <row r="17">
          <cell r="A17" t="str">
            <v>sd 49 / SD-28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2.2000000000000002</v>
          </cell>
          <cell r="X17">
            <v>2.2599999999999998</v>
          </cell>
          <cell r="Y17">
            <v>2.3199999999999998</v>
          </cell>
          <cell r="Z17">
            <v>2.46</v>
          </cell>
          <cell r="AA17">
            <v>2.62</v>
          </cell>
          <cell r="AB17">
            <v>2.8</v>
          </cell>
          <cell r="AC17">
            <v>2.93</v>
          </cell>
          <cell r="AD17">
            <v>3.01</v>
          </cell>
          <cell r="AE17">
            <v>3.08</v>
          </cell>
          <cell r="AF17">
            <v>3.26</v>
          </cell>
          <cell r="AG17">
            <v>3.43</v>
          </cell>
          <cell r="AH17">
            <v>3.51</v>
          </cell>
          <cell r="AI17">
            <v>3.65</v>
          </cell>
          <cell r="AJ17">
            <v>3.74</v>
          </cell>
          <cell r="AK17">
            <v>3.83</v>
          </cell>
          <cell r="AL17">
            <v>3.91</v>
          </cell>
          <cell r="AM17">
            <v>4</v>
          </cell>
          <cell r="AN17">
            <v>4.07</v>
          </cell>
          <cell r="AO17">
            <v>4.1500000000000004</v>
          </cell>
          <cell r="AP17">
            <v>4.24</v>
          </cell>
          <cell r="AQ17">
            <v>4.32</v>
          </cell>
          <cell r="AR17">
            <v>4.41</v>
          </cell>
          <cell r="AS17">
            <v>4.4400000000000004</v>
          </cell>
          <cell r="AT17">
            <v>4.51</v>
          </cell>
          <cell r="AU17">
            <v>4.58</v>
          </cell>
          <cell r="AV17">
            <v>4.6500000000000004</v>
          </cell>
          <cell r="AW17">
            <v>4.6900000000000004</v>
          </cell>
          <cell r="AX17">
            <v>4.72</v>
          </cell>
          <cell r="AY17">
            <v>4.76</v>
          </cell>
          <cell r="AZ17">
            <v>4.79</v>
          </cell>
          <cell r="BA17">
            <v>4.82</v>
          </cell>
          <cell r="BB17">
            <v>4.8499999999999996</v>
          </cell>
          <cell r="BC17">
            <v>4.88</v>
          </cell>
          <cell r="BD17">
            <v>4.91</v>
          </cell>
          <cell r="BE17">
            <v>4.93</v>
          </cell>
          <cell r="BF17">
            <v>4.96</v>
          </cell>
          <cell r="BG17">
            <v>5</v>
          </cell>
          <cell r="BH17">
            <v>5.0199999999999996</v>
          </cell>
          <cell r="BI17">
            <v>5.03</v>
          </cell>
          <cell r="BJ17">
            <v>5.05</v>
          </cell>
          <cell r="BK17">
            <v>5.0599999999999996</v>
          </cell>
          <cell r="BL17">
            <v>5.07</v>
          </cell>
          <cell r="BM17">
            <v>5.09</v>
          </cell>
          <cell r="BN17">
            <v>5.1100000000000003</v>
          </cell>
          <cell r="BO17">
            <v>5.13</v>
          </cell>
          <cell r="BP17">
            <v>5.15</v>
          </cell>
          <cell r="BQ17">
            <v>5.18</v>
          </cell>
          <cell r="BR17">
            <v>5.2</v>
          </cell>
          <cell r="BS17">
            <v>5.23</v>
          </cell>
          <cell r="BT17">
            <v>5.25</v>
          </cell>
          <cell r="BU17">
            <v>5.28</v>
          </cell>
          <cell r="BV17">
            <v>5.3</v>
          </cell>
          <cell r="BW17">
            <v>5.33</v>
          </cell>
          <cell r="BX17">
            <v>5.35</v>
          </cell>
          <cell r="BY17">
            <v>5.37</v>
          </cell>
          <cell r="BZ17">
            <v>5.4</v>
          </cell>
          <cell r="CA17">
            <v>5.42</v>
          </cell>
          <cell r="CB17">
            <v>5.44</v>
          </cell>
          <cell r="CC17">
            <v>5.47</v>
          </cell>
          <cell r="CD17">
            <v>5.49</v>
          </cell>
          <cell r="CE17">
            <v>5.52</v>
          </cell>
          <cell r="CF17">
            <v>5.54</v>
          </cell>
          <cell r="CG17">
            <v>5.56</v>
          </cell>
          <cell r="CH17">
            <v>5.59</v>
          </cell>
          <cell r="CI17">
            <v>5.61</v>
          </cell>
          <cell r="CJ17">
            <v>5.63</v>
          </cell>
          <cell r="CK17">
            <v>5.66</v>
          </cell>
          <cell r="CL17">
            <v>5.69</v>
          </cell>
          <cell r="CM17">
            <v>5.71</v>
          </cell>
          <cell r="CN17">
            <v>5.73</v>
          </cell>
          <cell r="CO17">
            <v>5.76</v>
          </cell>
          <cell r="CP17">
            <v>5.78</v>
          </cell>
          <cell r="CQ17">
            <v>5.8</v>
          </cell>
          <cell r="CR17">
            <v>5.82</v>
          </cell>
          <cell r="CS17">
            <v>5.85</v>
          </cell>
          <cell r="CT17">
            <v>5.87</v>
          </cell>
          <cell r="CU17">
            <v>5.89</v>
          </cell>
          <cell r="CV17">
            <v>5.92</v>
          </cell>
          <cell r="CW17">
            <v>5.94</v>
          </cell>
          <cell r="CX17">
            <v>5.97</v>
          </cell>
          <cell r="CY17">
            <v>6.02</v>
          </cell>
          <cell r="CZ17">
            <v>6.15</v>
          </cell>
          <cell r="DA17">
            <v>6.33</v>
          </cell>
          <cell r="DB17">
            <v>6.41</v>
          </cell>
          <cell r="DC17">
            <v>6.47</v>
          </cell>
          <cell r="DD17">
            <v>6.53</v>
          </cell>
          <cell r="DE17">
            <v>6.59</v>
          </cell>
          <cell r="DF17">
            <v>6.65</v>
          </cell>
          <cell r="DG17">
            <v>6.75</v>
          </cell>
          <cell r="DH17">
            <v>6.75</v>
          </cell>
          <cell r="DI17">
            <v>6.75</v>
          </cell>
          <cell r="DJ17">
            <v>6.75</v>
          </cell>
          <cell r="DK17">
            <v>6.81</v>
          </cell>
          <cell r="DL17">
            <v>6.88</v>
          </cell>
          <cell r="DM17">
            <v>6.94</v>
          </cell>
          <cell r="DN17">
            <v>7.01</v>
          </cell>
          <cell r="DO17">
            <v>7.08</v>
          </cell>
          <cell r="DP17">
            <v>7.14</v>
          </cell>
          <cell r="DQ17">
            <v>7.2</v>
          </cell>
          <cell r="DR17">
            <v>7.26</v>
          </cell>
          <cell r="DS17">
            <v>7.33</v>
          </cell>
          <cell r="DT17">
            <v>7.39</v>
          </cell>
          <cell r="DU17">
            <v>7.46</v>
          </cell>
          <cell r="DV17">
            <v>7.52</v>
          </cell>
          <cell r="DW17">
            <v>7.58</v>
          </cell>
          <cell r="DX17">
            <v>7.64</v>
          </cell>
          <cell r="DY17">
            <v>7.71</v>
          </cell>
          <cell r="DZ17">
            <v>7.78</v>
          </cell>
          <cell r="EA17">
            <v>7.81</v>
          </cell>
          <cell r="EB17">
            <v>7.88</v>
          </cell>
          <cell r="EC17">
            <v>7.95</v>
          </cell>
          <cell r="ED17">
            <v>8.01</v>
          </cell>
          <cell r="EE17">
            <v>7.7399999999999993</v>
          </cell>
          <cell r="EF17">
            <v>7.8022999999999998</v>
          </cell>
          <cell r="EG17">
            <v>8.06</v>
          </cell>
          <cell r="EH17">
            <v>7.71</v>
          </cell>
          <cell r="EI17">
            <v>8.32</v>
          </cell>
          <cell r="EJ17">
            <v>8.39</v>
          </cell>
          <cell r="EK17">
            <v>8.4700000000000006</v>
          </cell>
          <cell r="EL17">
            <v>8.52</v>
          </cell>
          <cell r="EM17">
            <v>8.59</v>
          </cell>
          <cell r="EN17">
            <v>8.65</v>
          </cell>
          <cell r="EO17">
            <v>8.7200000000000006</v>
          </cell>
          <cell r="EP17">
            <v>8.7799999999999994</v>
          </cell>
          <cell r="EQ17">
            <v>8.85</v>
          </cell>
          <cell r="ER17">
            <v>8.89</v>
          </cell>
          <cell r="ES17">
            <v>8.9700000000000006</v>
          </cell>
          <cell r="ET17">
            <v>9.0299999999999994</v>
          </cell>
          <cell r="EU17">
            <v>9.1</v>
          </cell>
          <cell r="EV17">
            <v>9.18</v>
          </cell>
          <cell r="EW17">
            <v>9.26</v>
          </cell>
          <cell r="EX17">
            <v>9.34</v>
          </cell>
          <cell r="EY17">
            <v>9.41</v>
          </cell>
          <cell r="EZ17">
            <v>9.48</v>
          </cell>
          <cell r="FA17">
            <v>9.5500000000000007</v>
          </cell>
          <cell r="FB17">
            <v>9.64</v>
          </cell>
          <cell r="FC17">
            <v>9.7200000000000006</v>
          </cell>
          <cell r="FD17">
            <v>9.8000000000000007</v>
          </cell>
          <cell r="FE17">
            <v>9.8800000000000008</v>
          </cell>
          <cell r="FF17">
            <v>9.9700000000000006</v>
          </cell>
          <cell r="FG17">
            <v>10.050000000000001</v>
          </cell>
          <cell r="FH17">
            <v>10.130000000000001</v>
          </cell>
          <cell r="FI17">
            <v>10.220000000000001</v>
          </cell>
          <cell r="FJ17">
            <v>10.3</v>
          </cell>
          <cell r="FK17">
            <v>10.56</v>
          </cell>
          <cell r="FL17">
            <v>10.71</v>
          </cell>
          <cell r="FM17">
            <v>10.73</v>
          </cell>
          <cell r="FN17">
            <v>10.73</v>
          </cell>
          <cell r="FO17">
            <v>10.78</v>
          </cell>
          <cell r="FP17">
            <v>10.83</v>
          </cell>
          <cell r="FQ17">
            <v>10.88</v>
          </cell>
          <cell r="FR17">
            <v>10.92</v>
          </cell>
          <cell r="FS17">
            <v>10.97</v>
          </cell>
          <cell r="FT17">
            <v>10.97</v>
          </cell>
          <cell r="FU17">
            <v>10.97</v>
          </cell>
          <cell r="FV17">
            <v>10.97</v>
          </cell>
          <cell r="FW17">
            <v>10.97</v>
          </cell>
          <cell r="FX17">
            <v>10.97</v>
          </cell>
          <cell r="FY17">
            <v>10.97</v>
          </cell>
          <cell r="FZ17">
            <v>10.97</v>
          </cell>
          <cell r="GA17">
            <v>10.97</v>
          </cell>
          <cell r="GB17">
            <v>10.97</v>
          </cell>
          <cell r="GC17">
            <v>10.97</v>
          </cell>
          <cell r="GD17">
            <v>10.97</v>
          </cell>
          <cell r="GE17">
            <v>10.97</v>
          </cell>
          <cell r="GF17">
            <v>10.97</v>
          </cell>
          <cell r="GG17">
            <v>10.97</v>
          </cell>
          <cell r="GH17">
            <v>10.97</v>
          </cell>
          <cell r="GI17">
            <v>10.97</v>
          </cell>
          <cell r="GJ17">
            <v>10.97</v>
          </cell>
          <cell r="GK17">
            <v>10.97</v>
          </cell>
          <cell r="GL17">
            <v>10.97</v>
          </cell>
          <cell r="GM17">
            <v>10.97</v>
          </cell>
          <cell r="GN17">
            <v>10.97</v>
          </cell>
          <cell r="GO17">
            <v>10.97</v>
          </cell>
          <cell r="GP17">
            <v>10.97</v>
          </cell>
          <cell r="GQ17">
            <v>10.97</v>
          </cell>
          <cell r="GR17">
            <v>10.97</v>
          </cell>
          <cell r="GS17">
            <v>10.97</v>
          </cell>
          <cell r="GT17">
            <v>10.97</v>
          </cell>
          <cell r="GU17">
            <v>10.97</v>
          </cell>
          <cell r="GV17">
            <v>10.97</v>
          </cell>
          <cell r="GW17">
            <v>10.97</v>
          </cell>
          <cell r="GX17">
            <v>10.97</v>
          </cell>
          <cell r="GY17">
            <v>10.97</v>
          </cell>
          <cell r="GZ17">
            <v>10.97</v>
          </cell>
          <cell r="HA17">
            <v>10.97</v>
          </cell>
          <cell r="HB17">
            <v>10.97</v>
          </cell>
          <cell r="HC17">
            <v>10.97</v>
          </cell>
          <cell r="HD17">
            <v>10.97</v>
          </cell>
          <cell r="HE17">
            <v>10.97</v>
          </cell>
          <cell r="HF17">
            <v>10.97</v>
          </cell>
          <cell r="HG17">
            <v>10.97</v>
          </cell>
          <cell r="HH17">
            <v>10.97</v>
          </cell>
          <cell r="HI17">
            <v>10.97</v>
          </cell>
          <cell r="HJ17">
            <v>10.97</v>
          </cell>
          <cell r="HK17">
            <v>10.97</v>
          </cell>
          <cell r="HL17">
            <v>10.97</v>
          </cell>
          <cell r="HM17">
            <v>10.97</v>
          </cell>
          <cell r="HN17">
            <v>10.97</v>
          </cell>
          <cell r="HO17">
            <v>10.97</v>
          </cell>
          <cell r="HP17">
            <v>10.97</v>
          </cell>
          <cell r="HQ17">
            <v>10.97</v>
          </cell>
          <cell r="HR17">
            <v>10.97</v>
          </cell>
          <cell r="HS17">
            <v>10.97</v>
          </cell>
          <cell r="HT17">
            <v>10.97</v>
          </cell>
          <cell r="HU17">
            <v>10.97</v>
          </cell>
          <cell r="HV17">
            <v>10.97</v>
          </cell>
          <cell r="HW17">
            <v>10.97</v>
          </cell>
          <cell r="HX17">
            <v>10.97</v>
          </cell>
          <cell r="HY17">
            <v>10.97</v>
          </cell>
          <cell r="HZ17">
            <v>10.97</v>
          </cell>
          <cell r="IA17">
            <v>10.97</v>
          </cell>
          <cell r="IB17">
            <v>10.97</v>
          </cell>
          <cell r="IC17">
            <v>10.97</v>
          </cell>
          <cell r="ID17">
            <v>10.97</v>
          </cell>
          <cell r="IE17">
            <v>10.97</v>
          </cell>
          <cell r="IF17">
            <v>10.97</v>
          </cell>
          <cell r="IG17">
            <v>10.97</v>
          </cell>
          <cell r="IH17">
            <v>10.97</v>
          </cell>
          <cell r="II17">
            <v>10.97</v>
          </cell>
          <cell r="IJ17">
            <v>10.97</v>
          </cell>
          <cell r="IK17">
            <v>10.97</v>
          </cell>
          <cell r="IL17">
            <v>10.97</v>
          </cell>
          <cell r="IM17">
            <v>10.97</v>
          </cell>
          <cell r="IN17">
            <v>10.97</v>
          </cell>
          <cell r="IO17">
            <v>10.97</v>
          </cell>
          <cell r="IP17">
            <v>10.97</v>
          </cell>
          <cell r="IQ17">
            <v>10.97</v>
          </cell>
          <cell r="IR17">
            <v>10.97</v>
          </cell>
          <cell r="IS17">
            <v>10.97</v>
          </cell>
          <cell r="IT17">
            <v>10.97</v>
          </cell>
          <cell r="IU17">
            <v>10.97</v>
          </cell>
          <cell r="IV17">
            <v>10.97</v>
          </cell>
          <cell r="IW17">
            <v>10.97</v>
          </cell>
          <cell r="IX17">
            <v>10.97</v>
          </cell>
          <cell r="IY17">
            <v>10.97</v>
          </cell>
          <cell r="IZ17">
            <v>10.97</v>
          </cell>
          <cell r="JA17">
            <v>10.97</v>
          </cell>
          <cell r="JB17">
            <v>10.97</v>
          </cell>
          <cell r="JC17">
            <v>10.97</v>
          </cell>
          <cell r="JD17">
            <v>10.97</v>
          </cell>
          <cell r="JE17">
            <v>10.97</v>
          </cell>
          <cell r="JF17">
            <v>10.97</v>
          </cell>
          <cell r="JG17">
            <v>10.97</v>
          </cell>
          <cell r="JH17">
            <v>10.97</v>
          </cell>
          <cell r="JI17">
            <v>10.97</v>
          </cell>
          <cell r="JJ17">
            <v>10.97</v>
          </cell>
          <cell r="JK17">
            <v>10.97</v>
          </cell>
          <cell r="JL17">
            <v>10.97</v>
          </cell>
          <cell r="JM17">
            <v>10.97</v>
          </cell>
          <cell r="JN17">
            <v>10.97</v>
          </cell>
          <cell r="JO17">
            <v>10.97</v>
          </cell>
          <cell r="JP17">
            <v>10.97</v>
          </cell>
          <cell r="JQ17">
            <v>10.97</v>
          </cell>
          <cell r="JR17">
            <v>10.97</v>
          </cell>
          <cell r="JS17">
            <v>10.97</v>
          </cell>
          <cell r="JT17">
            <v>10.97</v>
          </cell>
          <cell r="JU17">
            <v>10.97</v>
          </cell>
          <cell r="JV17">
            <v>10.97</v>
          </cell>
          <cell r="JW17">
            <v>10.97</v>
          </cell>
          <cell r="JX17">
            <v>10.97</v>
          </cell>
          <cell r="JY17">
            <v>10.97</v>
          </cell>
          <cell r="JZ17">
            <v>10.97</v>
          </cell>
          <cell r="KA17">
            <v>10.97</v>
          </cell>
          <cell r="KB17">
            <v>10.97</v>
          </cell>
          <cell r="KC17">
            <v>10.97</v>
          </cell>
          <cell r="KD17">
            <v>10.97</v>
          </cell>
          <cell r="KE17">
            <v>10.97</v>
          </cell>
          <cell r="KF17">
            <v>10.97</v>
          </cell>
          <cell r="KG17">
            <v>10.97</v>
          </cell>
          <cell r="KH17">
            <v>10.97</v>
          </cell>
          <cell r="KI17">
            <v>10.97</v>
          </cell>
          <cell r="KJ17">
            <v>10.97</v>
          </cell>
          <cell r="KK17">
            <v>10.97</v>
          </cell>
          <cell r="KL17">
            <v>10.97</v>
          </cell>
          <cell r="KM17">
            <v>10.97</v>
          </cell>
          <cell r="KN17">
            <v>10.97</v>
          </cell>
          <cell r="KO17">
            <v>10.97</v>
          </cell>
          <cell r="KP17">
            <v>10.97</v>
          </cell>
          <cell r="KQ17">
            <v>10.97</v>
          </cell>
          <cell r="KR17">
            <v>10.97</v>
          </cell>
          <cell r="KS17">
            <v>10.97</v>
          </cell>
          <cell r="KT17">
            <v>10.97</v>
          </cell>
          <cell r="KU17">
            <v>10.97</v>
          </cell>
          <cell r="KV17">
            <v>10.97</v>
          </cell>
          <cell r="KW17">
            <v>10.97</v>
          </cell>
          <cell r="KX17">
            <v>10.97</v>
          </cell>
          <cell r="KY17">
            <v>10.97</v>
          </cell>
          <cell r="KZ17">
            <v>10.97</v>
          </cell>
          <cell r="LA17">
            <v>10.97</v>
          </cell>
          <cell r="LB17">
            <v>10.97</v>
          </cell>
          <cell r="LC17" t="str">
            <v>X</v>
          </cell>
          <cell r="LD17" t="str">
            <v>X</v>
          </cell>
          <cell r="LE17" t="str">
            <v>X</v>
          </cell>
          <cell r="LF17" t="str">
            <v>X</v>
          </cell>
          <cell r="LG17" t="str">
            <v>X</v>
          </cell>
          <cell r="LH17">
            <v>0</v>
          </cell>
          <cell r="LI17">
            <v>0</v>
          </cell>
          <cell r="LJ17">
            <v>0</v>
          </cell>
          <cell r="LK17">
            <v>0</v>
          </cell>
          <cell r="LL17">
            <v>0</v>
          </cell>
          <cell r="LM17">
            <v>0</v>
          </cell>
          <cell r="LN17">
            <v>0</v>
          </cell>
          <cell r="LO17">
            <v>0</v>
          </cell>
          <cell r="LP17">
            <v>0</v>
          </cell>
          <cell r="LQ17">
            <v>0</v>
          </cell>
          <cell r="LR17">
            <v>0</v>
          </cell>
          <cell r="LS17">
            <v>0</v>
          </cell>
          <cell r="LT17">
            <v>0</v>
          </cell>
          <cell r="LU17">
            <v>0</v>
          </cell>
          <cell r="LV17">
            <v>0</v>
          </cell>
          <cell r="LW17">
            <v>0</v>
          </cell>
          <cell r="LX17">
            <v>0</v>
          </cell>
          <cell r="LY17">
            <v>0</v>
          </cell>
          <cell r="LZ17">
            <v>0</v>
          </cell>
          <cell r="MA17">
            <v>0</v>
          </cell>
          <cell r="MB17">
            <v>0</v>
          </cell>
          <cell r="MC17">
            <v>0</v>
          </cell>
          <cell r="MD17">
            <v>0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</row>
        <row r="18">
          <cell r="A18" t="str">
            <v>sd 50</v>
          </cell>
          <cell r="B18">
            <v>37.08</v>
          </cell>
          <cell r="C18">
            <v>37.200000000000003</v>
          </cell>
          <cell r="D18">
            <v>37.549999999999997</v>
          </cell>
          <cell r="E18">
            <v>38.409999999999997</v>
          </cell>
          <cell r="F18">
            <v>39.25</v>
          </cell>
          <cell r="G18">
            <v>39.549999999999997</v>
          </cell>
          <cell r="H18">
            <v>39.840000000000003</v>
          </cell>
          <cell r="I18">
            <v>40.14</v>
          </cell>
          <cell r="J18">
            <v>41.08</v>
          </cell>
          <cell r="K18">
            <v>42.07</v>
          </cell>
          <cell r="L18">
            <v>43.03</v>
          </cell>
          <cell r="M18">
            <v>43.33</v>
          </cell>
          <cell r="N18">
            <v>43.59</v>
          </cell>
          <cell r="O18">
            <v>43.84</v>
          </cell>
          <cell r="P18">
            <v>44.1</v>
          </cell>
          <cell r="Q18">
            <v>45.07</v>
          </cell>
          <cell r="R18">
            <v>45.98</v>
          </cell>
          <cell r="S18">
            <v>46.93</v>
          </cell>
          <cell r="T18">
            <v>47.35</v>
          </cell>
          <cell r="U18">
            <v>47.62</v>
          </cell>
          <cell r="V18">
            <v>47.89</v>
          </cell>
          <cell r="W18">
            <v>48.13</v>
          </cell>
          <cell r="X18">
            <v>49.04</v>
          </cell>
          <cell r="Y18">
            <v>49.95</v>
          </cell>
          <cell r="Z18">
            <v>50.88</v>
          </cell>
          <cell r="AA18">
            <v>51.71</v>
          </cell>
          <cell r="AB18">
            <v>52.24</v>
          </cell>
          <cell r="AC18">
            <v>52.49</v>
          </cell>
          <cell r="AD18">
            <v>52.77</v>
          </cell>
          <cell r="AE18">
            <v>53.69</v>
          </cell>
          <cell r="AF18">
            <v>54.6</v>
          </cell>
          <cell r="AG18">
            <v>55.34</v>
          </cell>
          <cell r="AH18">
            <v>55.64</v>
          </cell>
          <cell r="AI18">
            <v>55.93</v>
          </cell>
          <cell r="AJ18">
            <v>56.21</v>
          </cell>
          <cell r="AK18">
            <v>56.46</v>
          </cell>
          <cell r="AL18">
            <v>56.72</v>
          </cell>
          <cell r="AM18">
            <v>57.66</v>
          </cell>
          <cell r="AN18">
            <v>58.54</v>
          </cell>
          <cell r="AO18">
            <v>59.31</v>
          </cell>
          <cell r="AP18">
            <v>59.6</v>
          </cell>
          <cell r="AQ18">
            <v>59.87</v>
          </cell>
          <cell r="AR18">
            <v>60.15</v>
          </cell>
          <cell r="AS18">
            <v>61.09</v>
          </cell>
          <cell r="AT18">
            <v>62</v>
          </cell>
          <cell r="AU18">
            <v>62.92</v>
          </cell>
          <cell r="AV18">
            <v>63.75</v>
          </cell>
          <cell r="AW18">
            <v>64.16</v>
          </cell>
          <cell r="AX18">
            <v>64.45</v>
          </cell>
          <cell r="AY18">
            <v>64.75</v>
          </cell>
          <cell r="AZ18">
            <v>65.7</v>
          </cell>
          <cell r="BA18">
            <v>66.59</v>
          </cell>
          <cell r="BB18">
            <v>67.489999999999995</v>
          </cell>
          <cell r="BC18">
            <v>67.849999999999994</v>
          </cell>
          <cell r="BD18">
            <v>68.13</v>
          </cell>
          <cell r="BE18">
            <v>68.41</v>
          </cell>
          <cell r="BF18">
            <v>68.709999999999994</v>
          </cell>
          <cell r="BG18">
            <v>69.5</v>
          </cell>
          <cell r="BH18">
            <v>70.47</v>
          </cell>
          <cell r="BI18">
            <v>71.319999999999993</v>
          </cell>
          <cell r="BJ18">
            <v>72.03</v>
          </cell>
          <cell r="BK18">
            <v>72.290000000000006</v>
          </cell>
          <cell r="BL18">
            <v>72.55</v>
          </cell>
          <cell r="BM18">
            <v>72.84</v>
          </cell>
          <cell r="BN18">
            <v>73.680000000000007</v>
          </cell>
          <cell r="BO18">
            <v>74.64</v>
          </cell>
          <cell r="BP18">
            <v>75.52</v>
          </cell>
          <cell r="BQ18">
            <v>76.239999999999995</v>
          </cell>
          <cell r="BR18">
            <v>75.540000000000006</v>
          </cell>
          <cell r="BS18">
            <v>76.8</v>
          </cell>
          <cell r="BT18">
            <v>77.069999999999993</v>
          </cell>
          <cell r="BU18">
            <v>78.069999999999993</v>
          </cell>
          <cell r="BV18">
            <v>79.02</v>
          </cell>
          <cell r="BW18">
            <v>79.97</v>
          </cell>
          <cell r="BX18">
            <v>80.84</v>
          </cell>
          <cell r="BY18">
            <v>81.33</v>
          </cell>
          <cell r="BZ18">
            <v>81.61</v>
          </cell>
          <cell r="CA18">
            <v>81.87</v>
          </cell>
          <cell r="CB18">
            <v>82.13</v>
          </cell>
          <cell r="CC18">
            <v>83.12</v>
          </cell>
          <cell r="CD18">
            <v>84.01</v>
          </cell>
          <cell r="CE18">
            <v>84.7</v>
          </cell>
          <cell r="CF18">
            <v>85.09</v>
          </cell>
          <cell r="CG18">
            <v>85.31</v>
          </cell>
          <cell r="CH18">
            <v>85.57</v>
          </cell>
          <cell r="CI18">
            <v>88.46</v>
          </cell>
          <cell r="CJ18">
            <v>86.85</v>
          </cell>
          <cell r="CK18">
            <v>87.72</v>
          </cell>
          <cell r="CL18">
            <v>88.78</v>
          </cell>
          <cell r="CM18">
            <v>89.04</v>
          </cell>
          <cell r="CN18">
            <v>89.31</v>
          </cell>
          <cell r="CO18">
            <v>896</v>
          </cell>
          <cell r="CP18">
            <v>90.55</v>
          </cell>
          <cell r="CQ18">
            <v>91.5</v>
          </cell>
          <cell r="CR18">
            <v>92.41</v>
          </cell>
          <cell r="CS18">
            <v>93.36</v>
          </cell>
          <cell r="CT18">
            <v>94.5</v>
          </cell>
          <cell r="CU18">
            <v>94.62</v>
          </cell>
          <cell r="CV18">
            <v>94.9</v>
          </cell>
          <cell r="CW18">
            <v>95.84</v>
          </cell>
          <cell r="CX18">
            <v>96.79</v>
          </cell>
          <cell r="CY18">
            <v>97.71</v>
          </cell>
          <cell r="CZ18">
            <v>98.6</v>
          </cell>
          <cell r="DA18">
            <v>99.31</v>
          </cell>
          <cell r="DB18">
            <v>99.86</v>
          </cell>
          <cell r="DC18">
            <v>100.09</v>
          </cell>
          <cell r="DD18">
            <v>100.36</v>
          </cell>
          <cell r="DE18">
            <v>100.64</v>
          </cell>
          <cell r="DF18">
            <v>100.89</v>
          </cell>
          <cell r="DG18">
            <v>101.18</v>
          </cell>
          <cell r="DH18">
            <v>101.41</v>
          </cell>
          <cell r="DI18">
            <v>101.62</v>
          </cell>
          <cell r="DJ18">
            <v>101.62</v>
          </cell>
          <cell r="DK18">
            <v>101.94</v>
          </cell>
          <cell r="DL18">
            <v>102.93</v>
          </cell>
          <cell r="DM18">
            <v>103.88</v>
          </cell>
          <cell r="DN18">
            <v>104.81</v>
          </cell>
          <cell r="DO18">
            <v>105.4</v>
          </cell>
          <cell r="DP18">
            <v>105.65</v>
          </cell>
          <cell r="DQ18">
            <v>105.87</v>
          </cell>
          <cell r="DR18">
            <v>106.83</v>
          </cell>
          <cell r="DS18">
            <v>107.73</v>
          </cell>
          <cell r="DT18">
            <v>108.1</v>
          </cell>
          <cell r="DU18">
            <v>108.73</v>
          </cell>
          <cell r="DV18">
            <v>109.01</v>
          </cell>
          <cell r="DW18">
            <v>109.18</v>
          </cell>
          <cell r="DX18">
            <v>109.41</v>
          </cell>
          <cell r="DY18">
            <v>109.71</v>
          </cell>
          <cell r="DZ18">
            <v>110.66</v>
          </cell>
          <cell r="EA18">
            <v>111.59</v>
          </cell>
          <cell r="EB18">
            <v>112.45</v>
          </cell>
          <cell r="EC18">
            <v>112.71</v>
          </cell>
          <cell r="ED18">
            <v>112.99</v>
          </cell>
          <cell r="EE18">
            <v>110.64</v>
          </cell>
          <cell r="EF18">
            <v>111.4054</v>
          </cell>
          <cell r="EG18">
            <v>113.25</v>
          </cell>
          <cell r="EH18">
            <v>110.36</v>
          </cell>
          <cell r="EI18">
            <v>116.21</v>
          </cell>
          <cell r="EJ18">
            <v>116.4</v>
          </cell>
          <cell r="EK18">
            <v>116.68</v>
          </cell>
          <cell r="EL18">
            <v>116.85</v>
          </cell>
          <cell r="EM18">
            <v>117.78</v>
          </cell>
          <cell r="EN18">
            <v>118.68</v>
          </cell>
          <cell r="EO18">
            <v>119.62</v>
          </cell>
          <cell r="EP18">
            <v>120.27</v>
          </cell>
          <cell r="EQ18">
            <v>120.51</v>
          </cell>
          <cell r="ER18">
            <v>120.78</v>
          </cell>
          <cell r="ES18">
            <v>121.03</v>
          </cell>
          <cell r="ET18">
            <v>122</v>
          </cell>
          <cell r="EU18">
            <v>122.77</v>
          </cell>
          <cell r="EV18">
            <v>123.45</v>
          </cell>
          <cell r="EW18">
            <v>123.76</v>
          </cell>
          <cell r="EX18">
            <v>123.98</v>
          </cell>
          <cell r="EY18">
            <v>124.2</v>
          </cell>
          <cell r="EZ18">
            <v>124.42</v>
          </cell>
          <cell r="FA18">
            <v>124.68</v>
          </cell>
          <cell r="FB18">
            <v>124.88</v>
          </cell>
          <cell r="FC18">
            <v>125.05</v>
          </cell>
          <cell r="FD18">
            <v>125.37</v>
          </cell>
          <cell r="FE18">
            <v>125.77</v>
          </cell>
          <cell r="FF18">
            <v>126.06</v>
          </cell>
          <cell r="FG18">
            <v>126.38</v>
          </cell>
          <cell r="FH18">
            <v>127.29</v>
          </cell>
          <cell r="FI18">
            <v>128.18</v>
          </cell>
          <cell r="FJ18">
            <v>129.03</v>
          </cell>
          <cell r="FK18">
            <v>129.75</v>
          </cell>
          <cell r="FL18">
            <v>130.02000000000001</v>
          </cell>
          <cell r="FM18">
            <v>130.09</v>
          </cell>
          <cell r="FN18">
            <v>130.27000000000001</v>
          </cell>
          <cell r="FO18">
            <v>130.74</v>
          </cell>
          <cell r="FP18">
            <v>131.53</v>
          </cell>
          <cell r="FQ18">
            <v>132.35</v>
          </cell>
          <cell r="FR18">
            <v>133.18</v>
          </cell>
          <cell r="FS18">
            <v>133.86000000000001</v>
          </cell>
          <cell r="FT18">
            <v>134.11000000000001</v>
          </cell>
          <cell r="FU18">
            <v>134.4</v>
          </cell>
          <cell r="FV18">
            <v>135.25</v>
          </cell>
          <cell r="FW18">
            <v>136.15</v>
          </cell>
          <cell r="FX18">
            <v>137.05000000000001</v>
          </cell>
          <cell r="FY18">
            <v>137.77000000000001</v>
          </cell>
          <cell r="FZ18">
            <v>138.04</v>
          </cell>
          <cell r="GA18">
            <v>138.29</v>
          </cell>
          <cell r="GB18">
            <v>138.56</v>
          </cell>
          <cell r="GC18">
            <v>139.52000000000001</v>
          </cell>
          <cell r="GD18">
            <v>140.38</v>
          </cell>
          <cell r="GE18">
            <v>141.28</v>
          </cell>
          <cell r="GF18">
            <v>141.99</v>
          </cell>
          <cell r="GG18">
            <v>142.30000000000001</v>
          </cell>
          <cell r="GH18">
            <v>142.62</v>
          </cell>
          <cell r="GI18">
            <v>142.83000000000001</v>
          </cell>
          <cell r="GJ18">
            <v>143.62</v>
          </cell>
          <cell r="GK18">
            <v>144.51</v>
          </cell>
          <cell r="GL18">
            <v>145.38999999999999</v>
          </cell>
          <cell r="GM18">
            <v>146.09</v>
          </cell>
          <cell r="GN18">
            <v>146.32</v>
          </cell>
          <cell r="GO18">
            <v>146.59</v>
          </cell>
          <cell r="GP18">
            <v>146.83000000000001</v>
          </cell>
          <cell r="GQ18">
            <v>147.22999999999999</v>
          </cell>
          <cell r="GR18">
            <v>148.13</v>
          </cell>
          <cell r="GS18">
            <v>149.05000000000001</v>
          </cell>
          <cell r="GT18">
            <v>149.96</v>
          </cell>
          <cell r="GU18">
            <v>150.47</v>
          </cell>
          <cell r="GV18">
            <v>150.72</v>
          </cell>
          <cell r="GW18">
            <v>150.96</v>
          </cell>
          <cell r="GX18">
            <v>151.36000000000001</v>
          </cell>
          <cell r="GY18">
            <v>152.27000000000001</v>
          </cell>
          <cell r="GZ18">
            <v>153.22</v>
          </cell>
          <cell r="HA18">
            <v>154.02000000000001</v>
          </cell>
          <cell r="HB18">
            <v>154.71</v>
          </cell>
          <cell r="HC18">
            <v>154.99</v>
          </cell>
          <cell r="HD18">
            <v>155.26</v>
          </cell>
          <cell r="HE18">
            <v>156.12</v>
          </cell>
          <cell r="HF18">
            <v>157</v>
          </cell>
          <cell r="HG18">
            <v>157.94</v>
          </cell>
          <cell r="HH18">
            <v>158.51</v>
          </cell>
          <cell r="HI18">
            <v>158.72999999999999</v>
          </cell>
          <cell r="HJ18">
            <v>158.99</v>
          </cell>
          <cell r="HK18">
            <v>159.25</v>
          </cell>
          <cell r="HL18">
            <v>160.13</v>
          </cell>
          <cell r="HM18">
            <v>161.06</v>
          </cell>
          <cell r="HN18">
            <v>161.91999999999999</v>
          </cell>
          <cell r="HO18">
            <v>162.29</v>
          </cell>
          <cell r="HP18">
            <v>162.5</v>
          </cell>
          <cell r="HQ18">
            <v>162.63</v>
          </cell>
          <cell r="HR18">
            <v>162.76</v>
          </cell>
          <cell r="HS18">
            <v>163.05000000000001</v>
          </cell>
          <cell r="HT18">
            <v>163.96</v>
          </cell>
          <cell r="HU18">
            <v>164.92</v>
          </cell>
          <cell r="HV18">
            <v>165.76</v>
          </cell>
          <cell r="HW18">
            <v>166.02</v>
          </cell>
          <cell r="HX18">
            <v>166.27</v>
          </cell>
          <cell r="HY18">
            <v>166.4</v>
          </cell>
          <cell r="HZ18">
            <v>166.54</v>
          </cell>
          <cell r="IA18">
            <v>166.68</v>
          </cell>
          <cell r="IB18">
            <v>166.7</v>
          </cell>
          <cell r="IC18">
            <v>166.74</v>
          </cell>
          <cell r="ID18">
            <v>166.84</v>
          </cell>
          <cell r="IE18">
            <v>166.97</v>
          </cell>
          <cell r="IF18">
            <v>167.08</v>
          </cell>
          <cell r="IG18">
            <v>167.26</v>
          </cell>
          <cell r="IH18">
            <v>167.67</v>
          </cell>
          <cell r="II18">
            <v>168.57</v>
          </cell>
          <cell r="IJ18">
            <v>169.13</v>
          </cell>
          <cell r="IK18">
            <v>169.42</v>
          </cell>
          <cell r="IL18">
            <v>169.71</v>
          </cell>
          <cell r="IM18">
            <v>169.87</v>
          </cell>
          <cell r="IN18">
            <v>170.03</v>
          </cell>
          <cell r="IO18">
            <v>170.19</v>
          </cell>
          <cell r="IP18">
            <v>170.36</v>
          </cell>
          <cell r="IQ18">
            <v>170.48</v>
          </cell>
          <cell r="IR18">
            <v>170.63</v>
          </cell>
          <cell r="IS18">
            <v>170.79</v>
          </cell>
          <cell r="IT18">
            <v>170.9</v>
          </cell>
          <cell r="IU18">
            <v>171.04</v>
          </cell>
          <cell r="IV18">
            <v>171.19</v>
          </cell>
          <cell r="IW18">
            <v>171.23</v>
          </cell>
          <cell r="IX18">
            <v>171.45</v>
          </cell>
          <cell r="IY18">
            <v>171.6</v>
          </cell>
          <cell r="IZ18">
            <v>171.72</v>
          </cell>
          <cell r="JA18">
            <v>171.84</v>
          </cell>
          <cell r="JB18">
            <v>171.84</v>
          </cell>
          <cell r="JC18">
            <v>172.16</v>
          </cell>
          <cell r="JD18">
            <v>172.39</v>
          </cell>
          <cell r="JE18">
            <v>172.64</v>
          </cell>
          <cell r="JF18">
            <v>172.88</v>
          </cell>
          <cell r="JG18">
            <v>173.07</v>
          </cell>
          <cell r="JH18">
            <v>173.21</v>
          </cell>
          <cell r="JI18">
            <v>173.45</v>
          </cell>
          <cell r="JJ18">
            <v>173.7</v>
          </cell>
          <cell r="JK18">
            <v>173.95</v>
          </cell>
          <cell r="JL18">
            <v>174.15</v>
          </cell>
          <cell r="JM18">
            <v>174.27</v>
          </cell>
          <cell r="JN18">
            <v>174.44</v>
          </cell>
          <cell r="JO18">
            <v>174.49</v>
          </cell>
          <cell r="JP18">
            <v>174.61</v>
          </cell>
          <cell r="JQ18">
            <v>174.72</v>
          </cell>
          <cell r="JR18">
            <v>174.81</v>
          </cell>
          <cell r="JS18">
            <v>174.87</v>
          </cell>
          <cell r="JT18">
            <v>174.95</v>
          </cell>
          <cell r="JU18">
            <v>175.02</v>
          </cell>
          <cell r="JV18">
            <v>175.08</v>
          </cell>
          <cell r="JW18">
            <v>175.15</v>
          </cell>
          <cell r="JX18">
            <v>175.22</v>
          </cell>
          <cell r="JY18">
            <v>175.29</v>
          </cell>
          <cell r="JZ18">
            <v>175.35</v>
          </cell>
          <cell r="KA18" t="str">
            <v>FS</v>
          </cell>
          <cell r="KB18" t="str">
            <v>FS</v>
          </cell>
          <cell r="KC18" t="str">
            <v>FS</v>
          </cell>
          <cell r="KD18" t="str">
            <v>FS</v>
          </cell>
          <cell r="KE18" t="str">
            <v>FS</v>
          </cell>
          <cell r="KF18" t="str">
            <v>FS</v>
          </cell>
          <cell r="KG18" t="str">
            <v>FS</v>
          </cell>
          <cell r="KH18" t="str">
            <v>FS</v>
          </cell>
          <cell r="KI18" t="str">
            <v>FS</v>
          </cell>
          <cell r="KJ18" t="str">
            <v>FS</v>
          </cell>
          <cell r="KK18" t="str">
            <v>FS</v>
          </cell>
          <cell r="KL18" t="str">
            <v>FS</v>
          </cell>
          <cell r="KM18" t="str">
            <v>FS</v>
          </cell>
          <cell r="KN18" t="str">
            <v>FS</v>
          </cell>
          <cell r="KO18" t="str">
            <v>FS</v>
          </cell>
          <cell r="KP18" t="str">
            <v>FS</v>
          </cell>
          <cell r="KQ18" t="str">
            <v>FS</v>
          </cell>
          <cell r="KR18" t="str">
            <v>FS</v>
          </cell>
          <cell r="KS18" t="str">
            <v>FS</v>
          </cell>
          <cell r="KT18" t="str">
            <v>FS</v>
          </cell>
          <cell r="KU18" t="str">
            <v>FS</v>
          </cell>
          <cell r="KV18" t="str">
            <v>FS</v>
          </cell>
          <cell r="KW18" t="str">
            <v>FS</v>
          </cell>
          <cell r="KX18" t="str">
            <v>FS</v>
          </cell>
          <cell r="KY18" t="str">
            <v>FS</v>
          </cell>
          <cell r="KZ18" t="str">
            <v>FS</v>
          </cell>
          <cell r="LA18" t="str">
            <v>FS</v>
          </cell>
          <cell r="LB18" t="str">
            <v>FS</v>
          </cell>
          <cell r="LC18" t="str">
            <v>FS</v>
          </cell>
          <cell r="LD18" t="str">
            <v>FS</v>
          </cell>
          <cell r="LE18" t="str">
            <v>FS</v>
          </cell>
          <cell r="LF18" t="str">
            <v>FS</v>
          </cell>
          <cell r="LG18" t="str">
            <v>FS</v>
          </cell>
          <cell r="LH18" t="str">
            <v>FS</v>
          </cell>
          <cell r="LI18" t="str">
            <v>FS</v>
          </cell>
          <cell r="LJ18" t="str">
            <v>FS</v>
          </cell>
          <cell r="LK18" t="str">
            <v>FS</v>
          </cell>
          <cell r="LL18" t="str">
            <v>FS</v>
          </cell>
          <cell r="LM18" t="str">
            <v>FS</v>
          </cell>
          <cell r="LN18" t="str">
            <v>FS</v>
          </cell>
          <cell r="LO18" t="str">
            <v>FS</v>
          </cell>
          <cell r="LP18" t="str">
            <v>FS</v>
          </cell>
          <cell r="LQ18" t="str">
            <v>FS</v>
          </cell>
          <cell r="LR18" t="str">
            <v>FS</v>
          </cell>
          <cell r="LS18" t="str">
            <v>FS</v>
          </cell>
          <cell r="LT18" t="str">
            <v>FS</v>
          </cell>
          <cell r="LU18" t="str">
            <v>FS</v>
          </cell>
          <cell r="LV18" t="str">
            <v>FS</v>
          </cell>
          <cell r="LW18" t="str">
            <v>FS</v>
          </cell>
          <cell r="LX18" t="str">
            <v>FS</v>
          </cell>
          <cell r="LY18" t="str">
            <v>FS</v>
          </cell>
          <cell r="LZ18" t="str">
            <v>FS</v>
          </cell>
          <cell r="MA18" t="str">
            <v>FS</v>
          </cell>
          <cell r="MB18" t="str">
            <v>FS</v>
          </cell>
          <cell r="MC18" t="str">
            <v>FS</v>
          </cell>
          <cell r="MD18" t="str">
            <v>FS</v>
          </cell>
          <cell r="ME18" t="str">
            <v>FS</v>
          </cell>
          <cell r="MF18" t="str">
            <v>FS</v>
          </cell>
          <cell r="MG18" t="str">
            <v>FS</v>
          </cell>
          <cell r="MH18" t="str">
            <v>FS</v>
          </cell>
        </row>
        <row r="19">
          <cell r="A19" t="str">
            <v>SD43 Total Nte + Sur</v>
          </cell>
          <cell r="B19">
            <v>36.409999999999997</v>
          </cell>
          <cell r="C19">
            <v>36.61</v>
          </cell>
          <cell r="D19">
            <v>36.93</v>
          </cell>
          <cell r="E19">
            <v>37.79</v>
          </cell>
          <cell r="F19">
            <v>38.880000000000003</v>
          </cell>
          <cell r="G19">
            <v>39.18</v>
          </cell>
          <cell r="H19">
            <v>39.479999999999997</v>
          </cell>
          <cell r="I19">
            <v>39.78</v>
          </cell>
          <cell r="J19">
            <v>41.4</v>
          </cell>
          <cell r="K19">
            <v>43.1</v>
          </cell>
          <cell r="L19">
            <v>44.81</v>
          </cell>
          <cell r="M19">
            <v>46.42</v>
          </cell>
          <cell r="N19">
            <v>47.45</v>
          </cell>
          <cell r="O19">
            <v>47.78</v>
          </cell>
          <cell r="P19">
            <v>48.13</v>
          </cell>
          <cell r="Q19">
            <v>49.76</v>
          </cell>
          <cell r="R19">
            <v>51.44</v>
          </cell>
          <cell r="S19">
            <v>53.11</v>
          </cell>
          <cell r="T19">
            <v>54.26</v>
          </cell>
          <cell r="U19">
            <v>54.96</v>
          </cell>
          <cell r="V19">
            <v>55.28</v>
          </cell>
          <cell r="W19">
            <v>55.55</v>
          </cell>
          <cell r="X19">
            <v>56.32</v>
          </cell>
          <cell r="Y19">
            <v>57.870000000000005</v>
          </cell>
          <cell r="Z19">
            <v>59.44</v>
          </cell>
          <cell r="AA19">
            <v>60.85</v>
          </cell>
          <cell r="AB19">
            <v>61.65</v>
          </cell>
          <cell r="AC19">
            <v>61.98</v>
          </cell>
          <cell r="AD19">
            <v>62.3</v>
          </cell>
          <cell r="AE19">
            <v>63.019999999999996</v>
          </cell>
          <cell r="AF19">
            <v>63.89</v>
          </cell>
          <cell r="AG19">
            <v>64.72</v>
          </cell>
          <cell r="AH19">
            <v>65.430000000000007</v>
          </cell>
          <cell r="AI19">
            <v>65.77000000000001</v>
          </cell>
          <cell r="AJ19">
            <v>66.09</v>
          </cell>
          <cell r="AK19">
            <v>66.38</v>
          </cell>
          <cell r="AL19">
            <v>66.699999999999989</v>
          </cell>
          <cell r="AM19">
            <v>67.86</v>
          </cell>
          <cell r="AN19">
            <v>68.95</v>
          </cell>
          <cell r="AO19">
            <v>69.430000000000007</v>
          </cell>
          <cell r="AP19">
            <v>69.75</v>
          </cell>
          <cell r="AQ19">
            <v>70.05</v>
          </cell>
          <cell r="AR19">
            <v>70.37</v>
          </cell>
          <cell r="AS19">
            <v>71.5</v>
          </cell>
          <cell r="AT19">
            <v>72.75</v>
          </cell>
          <cell r="AU19">
            <v>73.53</v>
          </cell>
          <cell r="AV19">
            <v>73.86</v>
          </cell>
          <cell r="AW19">
            <v>74.180000000000007</v>
          </cell>
          <cell r="AX19">
            <v>74.490000000000009</v>
          </cell>
          <cell r="AY19">
            <v>74.78</v>
          </cell>
          <cell r="AZ19">
            <v>75.13</v>
          </cell>
          <cell r="BA19">
            <v>75.83</v>
          </cell>
          <cell r="BB19">
            <v>76.88</v>
          </cell>
          <cell r="BC19">
            <v>77.289999999999992</v>
          </cell>
          <cell r="BD19">
            <v>77.64</v>
          </cell>
          <cell r="BE19">
            <v>77.98</v>
          </cell>
          <cell r="BF19">
            <v>78.349999999999994</v>
          </cell>
          <cell r="BG19">
            <v>79.02</v>
          </cell>
          <cell r="BH19">
            <v>80.08</v>
          </cell>
          <cell r="BI19">
            <v>81.02</v>
          </cell>
          <cell r="BJ19">
            <v>81.509999999999991</v>
          </cell>
          <cell r="BK19">
            <v>81.849999999999994</v>
          </cell>
          <cell r="BL19">
            <v>82.16</v>
          </cell>
          <cell r="BM19">
            <v>82.5</v>
          </cell>
          <cell r="BN19">
            <v>83.48</v>
          </cell>
          <cell r="BO19">
            <v>84.66</v>
          </cell>
          <cell r="BP19">
            <v>85.77000000000001</v>
          </cell>
          <cell r="BQ19">
            <v>86.53</v>
          </cell>
          <cell r="BR19">
            <v>86.89</v>
          </cell>
          <cell r="BS19">
            <v>87.199999999999989</v>
          </cell>
          <cell r="BT19">
            <v>87.539999999999992</v>
          </cell>
          <cell r="BU19">
            <v>88.62</v>
          </cell>
          <cell r="BV19">
            <v>89.59</v>
          </cell>
          <cell r="BW19">
            <v>90.710000000000008</v>
          </cell>
          <cell r="BX19">
            <v>91.76</v>
          </cell>
          <cell r="BY19">
            <v>92.58</v>
          </cell>
          <cell r="BZ19">
            <v>92.97999999999999</v>
          </cell>
          <cell r="CA19">
            <v>93.300000000000011</v>
          </cell>
          <cell r="CB19">
            <v>93.66</v>
          </cell>
          <cell r="CC19">
            <v>94.66</v>
          </cell>
          <cell r="CD19">
            <v>95.539999999999992</v>
          </cell>
          <cell r="CE19">
            <v>95.91</v>
          </cell>
          <cell r="CF19">
            <v>96.23</v>
          </cell>
          <cell r="CG19">
            <v>96.52</v>
          </cell>
          <cell r="CH19">
            <v>96.800000000000011</v>
          </cell>
          <cell r="CI19">
            <v>97.460000000000008</v>
          </cell>
          <cell r="CJ19">
            <v>98.44</v>
          </cell>
          <cell r="CK19">
            <v>98.91</v>
          </cell>
          <cell r="CL19">
            <v>99.25</v>
          </cell>
          <cell r="CM19">
            <v>99.55</v>
          </cell>
          <cell r="CN19">
            <v>99.86</v>
          </cell>
          <cell r="CO19">
            <v>100.15</v>
          </cell>
          <cell r="CP19">
            <v>100.52</v>
          </cell>
          <cell r="CQ19">
            <v>101.96</v>
          </cell>
          <cell r="CR19">
            <v>102.64</v>
          </cell>
          <cell r="CS19">
            <v>103.19</v>
          </cell>
          <cell r="CT19">
            <v>103.65</v>
          </cell>
          <cell r="CU19">
            <v>105.97</v>
          </cell>
          <cell r="CV19">
            <v>104.27</v>
          </cell>
          <cell r="CW19">
            <v>104.84</v>
          </cell>
          <cell r="CX19">
            <v>105.77</v>
          </cell>
          <cell r="CY19">
            <v>106.75</v>
          </cell>
          <cell r="CZ19">
            <v>107.75</v>
          </cell>
          <cell r="DA19">
            <v>108.33</v>
          </cell>
          <cell r="DB19">
            <v>108.74</v>
          </cell>
          <cell r="DC19">
            <v>109.05000000000001</v>
          </cell>
          <cell r="DD19">
            <v>109.41</v>
          </cell>
          <cell r="DE19">
            <v>109.79</v>
          </cell>
          <cell r="DF19">
            <v>110.11</v>
          </cell>
          <cell r="DG19">
            <v>110.46</v>
          </cell>
          <cell r="DH19">
            <v>110.75</v>
          </cell>
          <cell r="DI19">
            <v>110.95</v>
          </cell>
          <cell r="DJ19">
            <v>110.95</v>
          </cell>
          <cell r="DK19">
            <v>111.74</v>
          </cell>
          <cell r="DL19">
            <v>112.7</v>
          </cell>
          <cell r="DM19">
            <v>113.7</v>
          </cell>
          <cell r="DN19">
            <v>114.57</v>
          </cell>
          <cell r="DO19">
            <v>114.94</v>
          </cell>
          <cell r="DP19">
            <v>115.25</v>
          </cell>
          <cell r="DQ19">
            <v>115.51</v>
          </cell>
          <cell r="DR19">
            <v>115.87</v>
          </cell>
          <cell r="DS19">
            <v>116.48</v>
          </cell>
          <cell r="DT19">
            <v>116.82</v>
          </cell>
          <cell r="DU19">
            <v>117.21</v>
          </cell>
          <cell r="DV19">
            <v>117.52</v>
          </cell>
          <cell r="DW19">
            <v>117.77000000000001</v>
          </cell>
          <cell r="DX19">
            <v>118.00999999999999</v>
          </cell>
          <cell r="DY19">
            <v>118.28999999999999</v>
          </cell>
          <cell r="DZ19">
            <v>118.75</v>
          </cell>
          <cell r="EA19">
            <v>119.02000000000001</v>
          </cell>
          <cell r="EB19">
            <v>119.77000000000001</v>
          </cell>
          <cell r="EC19">
            <v>120.24000000000001</v>
          </cell>
          <cell r="ED19">
            <v>120.6</v>
          </cell>
          <cell r="EE19">
            <v>118.56</v>
          </cell>
          <cell r="EF19">
            <v>119.22749999999999</v>
          </cell>
          <cell r="EG19">
            <v>120.85</v>
          </cell>
          <cell r="EH19">
            <v>118.47</v>
          </cell>
          <cell r="EI19">
            <v>122.98</v>
          </cell>
          <cell r="EJ19">
            <v>123.49000000000001</v>
          </cell>
          <cell r="EK19">
            <v>123.94999999999999</v>
          </cell>
          <cell r="EL19">
            <v>124.18</v>
          </cell>
          <cell r="EM19">
            <v>144.70999999999998</v>
          </cell>
          <cell r="EN19">
            <v>125.39000000000001</v>
          </cell>
          <cell r="EO19">
            <v>126.43</v>
          </cell>
          <cell r="EP19">
            <v>126.92999999999999</v>
          </cell>
          <cell r="EQ19">
            <v>127.27000000000001</v>
          </cell>
          <cell r="ER19">
            <v>127.62</v>
          </cell>
          <cell r="ES19">
            <v>127.92</v>
          </cell>
          <cell r="ET19">
            <v>128.95999999999998</v>
          </cell>
          <cell r="EU19">
            <v>129.95000000000002</v>
          </cell>
          <cell r="EV19">
            <v>130.94999999999999</v>
          </cell>
          <cell r="EW19">
            <v>131.61000000000001</v>
          </cell>
          <cell r="EX19">
            <v>132</v>
          </cell>
          <cell r="EY19">
            <v>132.31</v>
          </cell>
          <cell r="EZ19">
            <v>132.61000000000001</v>
          </cell>
          <cell r="FA19">
            <v>132.91</v>
          </cell>
          <cell r="FB19">
            <v>133.53</v>
          </cell>
          <cell r="FC19">
            <v>134.19</v>
          </cell>
          <cell r="FD19">
            <v>134.97</v>
          </cell>
          <cell r="FE19">
            <v>135.4</v>
          </cell>
          <cell r="FF19">
            <v>135.69999999999999</v>
          </cell>
          <cell r="FG19">
            <v>136.04000000000002</v>
          </cell>
          <cell r="FH19">
            <v>137.1</v>
          </cell>
          <cell r="FI19">
            <v>138.10999999999999</v>
          </cell>
          <cell r="FJ19">
            <v>139.18</v>
          </cell>
          <cell r="FK19">
            <v>139.72999999999999</v>
          </cell>
          <cell r="FL19">
            <v>139.99</v>
          </cell>
          <cell r="FM19">
            <v>140.05000000000001</v>
          </cell>
          <cell r="FN19">
            <v>140.18</v>
          </cell>
          <cell r="FO19">
            <v>140.63</v>
          </cell>
          <cell r="FP19">
            <v>141.63999999999999</v>
          </cell>
          <cell r="FQ19">
            <v>142.65</v>
          </cell>
          <cell r="FR19">
            <v>143.63999999999999</v>
          </cell>
          <cell r="FS19">
            <v>144.57999999999998</v>
          </cell>
          <cell r="FT19">
            <v>144.91</v>
          </cell>
          <cell r="FU19">
            <v>145.30000000000001</v>
          </cell>
          <cell r="FV19">
            <v>146.36000000000001</v>
          </cell>
          <cell r="FW19">
            <v>147.44</v>
          </cell>
          <cell r="FX19">
            <v>148.47999999999999</v>
          </cell>
          <cell r="FY19">
            <v>148.92000000000002</v>
          </cell>
          <cell r="FZ19">
            <v>149.38</v>
          </cell>
          <cell r="GA19">
            <v>149.76</v>
          </cell>
          <cell r="GB19">
            <v>150.1</v>
          </cell>
          <cell r="GC19">
            <v>150.6</v>
          </cell>
          <cell r="GD19">
            <v>151.21</v>
          </cell>
          <cell r="GE19">
            <v>152.38</v>
          </cell>
          <cell r="GF19">
            <v>153.1</v>
          </cell>
          <cell r="GG19">
            <v>153.5</v>
          </cell>
          <cell r="GH19">
            <v>153.84</v>
          </cell>
          <cell r="GI19">
            <v>154.04000000000002</v>
          </cell>
          <cell r="GJ19">
            <v>154.55000000000001</v>
          </cell>
          <cell r="GK19">
            <v>155.5</v>
          </cell>
          <cell r="GL19">
            <v>156.49</v>
          </cell>
          <cell r="GM19">
            <v>157.56</v>
          </cell>
          <cell r="GN19">
            <v>158.25</v>
          </cell>
          <cell r="GO19">
            <v>158.58000000000001</v>
          </cell>
          <cell r="GP19">
            <v>158.88</v>
          </cell>
          <cell r="GQ19">
            <v>159.85000000000002</v>
          </cell>
          <cell r="GR19">
            <v>160.9</v>
          </cell>
          <cell r="GS19">
            <v>161.86000000000001</v>
          </cell>
          <cell r="GT19">
            <v>162.76999999999998</v>
          </cell>
          <cell r="GU19">
            <v>163.13999999999999</v>
          </cell>
          <cell r="GV19">
            <v>163.5</v>
          </cell>
          <cell r="GW19">
            <v>163.85000000000002</v>
          </cell>
          <cell r="GX19">
            <v>164.55</v>
          </cell>
          <cell r="GY19">
            <v>165.48000000000002</v>
          </cell>
          <cell r="GZ19">
            <v>166.45999999999998</v>
          </cell>
          <cell r="HA19">
            <v>167.37</v>
          </cell>
          <cell r="HB19">
            <v>168.04000000000002</v>
          </cell>
          <cell r="HC19">
            <v>168.38</v>
          </cell>
          <cell r="HD19">
            <v>168.64999999999998</v>
          </cell>
          <cell r="HE19">
            <v>169.19</v>
          </cell>
          <cell r="HF19">
            <v>170.16</v>
          </cell>
          <cell r="HG19">
            <v>170.87</v>
          </cell>
          <cell r="HH19">
            <v>171.5</v>
          </cell>
          <cell r="HI19">
            <v>171.91</v>
          </cell>
          <cell r="HJ19">
            <v>172.32</v>
          </cell>
          <cell r="HK19">
            <v>172.67000000000002</v>
          </cell>
          <cell r="HL19">
            <v>173.81</v>
          </cell>
          <cell r="HM19">
            <v>174.89</v>
          </cell>
          <cell r="HN19">
            <v>175.93</v>
          </cell>
          <cell r="HO19">
            <v>176.76</v>
          </cell>
          <cell r="HP19">
            <v>177.47</v>
          </cell>
          <cell r="HQ19">
            <v>177.78</v>
          </cell>
          <cell r="HR19">
            <v>178.14</v>
          </cell>
          <cell r="HS19">
            <v>179.28</v>
          </cell>
          <cell r="HT19">
            <v>180.70999999999998</v>
          </cell>
          <cell r="HU19">
            <v>182.25</v>
          </cell>
          <cell r="HV19">
            <v>183.83999999999997</v>
          </cell>
          <cell r="HW19">
            <v>185.37</v>
          </cell>
          <cell r="HX19">
            <v>186.05</v>
          </cell>
          <cell r="HY19">
            <v>186.4</v>
          </cell>
          <cell r="HZ19">
            <v>187.8</v>
          </cell>
          <cell r="IA19">
            <v>189.26</v>
          </cell>
          <cell r="IB19">
            <v>189.53</v>
          </cell>
          <cell r="IC19">
            <v>191.11</v>
          </cell>
          <cell r="ID19">
            <v>192.67000000000002</v>
          </cell>
          <cell r="IE19">
            <v>193.49</v>
          </cell>
          <cell r="IF19">
            <v>193.8</v>
          </cell>
          <cell r="IG19">
            <v>194.77</v>
          </cell>
          <cell r="IH19">
            <v>195.76</v>
          </cell>
          <cell r="II19">
            <v>196.66</v>
          </cell>
          <cell r="IJ19">
            <v>197.44</v>
          </cell>
          <cell r="IK19">
            <v>198.24</v>
          </cell>
          <cell r="IL19">
            <v>198.62</v>
          </cell>
          <cell r="IM19">
            <v>198.99</v>
          </cell>
          <cell r="IN19">
            <v>199.8</v>
          </cell>
          <cell r="IO19">
            <v>200.61</v>
          </cell>
          <cell r="IP19">
            <v>201.28</v>
          </cell>
          <cell r="IQ19">
            <v>201.89999999999998</v>
          </cell>
          <cell r="IR19">
            <v>202.87</v>
          </cell>
          <cell r="IS19">
            <v>203.32999999999998</v>
          </cell>
          <cell r="IT19">
            <v>203.67000000000002</v>
          </cell>
          <cell r="IU19">
            <v>204.61</v>
          </cell>
          <cell r="IV19">
            <v>205.14999999999998</v>
          </cell>
          <cell r="IW19">
            <v>205.92000000000002</v>
          </cell>
          <cell r="IX19">
            <v>206.5</v>
          </cell>
          <cell r="IY19">
            <v>207.04000000000002</v>
          </cell>
          <cell r="IZ19">
            <v>207.38</v>
          </cell>
          <cell r="JA19">
            <v>207.7</v>
          </cell>
          <cell r="JB19">
            <v>207.7</v>
          </cell>
          <cell r="JC19">
            <v>209.01999999999998</v>
          </cell>
          <cell r="JD19">
            <v>210.23000000000002</v>
          </cell>
          <cell r="JE19">
            <v>211.21</v>
          </cell>
          <cell r="JF19">
            <v>211.9</v>
          </cell>
          <cell r="JG19">
            <v>212.27999999999997</v>
          </cell>
          <cell r="JH19">
            <v>212.57999999999998</v>
          </cell>
          <cell r="JI19">
            <v>213.63</v>
          </cell>
          <cell r="JJ19">
            <v>214.29</v>
          </cell>
          <cell r="JK19">
            <v>214.67000000000002</v>
          </cell>
          <cell r="JL19">
            <v>215.05</v>
          </cell>
          <cell r="JM19">
            <v>215.5</v>
          </cell>
          <cell r="JN19">
            <v>215.70999999999998</v>
          </cell>
          <cell r="JO19">
            <v>216.51999999999998</v>
          </cell>
          <cell r="JP19">
            <v>217</v>
          </cell>
          <cell r="JQ19">
            <v>217.93</v>
          </cell>
          <cell r="JR19">
            <v>218.91000000000003</v>
          </cell>
          <cell r="JS19">
            <v>219.59</v>
          </cell>
          <cell r="JT19">
            <v>220.01999999999998</v>
          </cell>
          <cell r="JU19">
            <v>220.41</v>
          </cell>
          <cell r="JV19">
            <v>220.7</v>
          </cell>
          <cell r="JW19">
            <v>221.13</v>
          </cell>
          <cell r="JX19">
            <v>221.54000000000002</v>
          </cell>
          <cell r="JY19">
            <v>221.64</v>
          </cell>
          <cell r="JZ19">
            <v>222.26</v>
          </cell>
          <cell r="KA19">
            <v>222.59000000000003</v>
          </cell>
          <cell r="KB19">
            <v>222.93</v>
          </cell>
          <cell r="KC19">
            <v>223.18</v>
          </cell>
          <cell r="KD19">
            <v>223.46</v>
          </cell>
          <cell r="KE19">
            <v>223.73000000000002</v>
          </cell>
          <cell r="KF19">
            <v>224</v>
          </cell>
          <cell r="KG19">
            <v>224.22000000000003</v>
          </cell>
          <cell r="KH19">
            <v>224.5</v>
          </cell>
          <cell r="KI19">
            <v>224.78</v>
          </cell>
          <cell r="KJ19">
            <v>225.04000000000002</v>
          </cell>
          <cell r="KK19">
            <v>225.35</v>
          </cell>
          <cell r="KL19">
            <v>225.70999999999998</v>
          </cell>
          <cell r="KM19">
            <v>226.03</v>
          </cell>
          <cell r="KN19">
            <v>226.39</v>
          </cell>
          <cell r="KO19">
            <v>226.7</v>
          </cell>
          <cell r="KP19">
            <v>226.82999999999998</v>
          </cell>
          <cell r="KQ19">
            <v>226.95</v>
          </cell>
          <cell r="KR19">
            <v>227.01</v>
          </cell>
          <cell r="KS19">
            <v>227.22</v>
          </cell>
          <cell r="KT19">
            <v>403.23</v>
          </cell>
          <cell r="KU19">
            <v>227.51</v>
          </cell>
          <cell r="KV19">
            <v>227.58999999999997</v>
          </cell>
          <cell r="KW19">
            <v>227.67</v>
          </cell>
          <cell r="KX19">
            <v>227.73000000000002</v>
          </cell>
          <cell r="KY19">
            <v>227.82</v>
          </cell>
          <cell r="KZ19">
            <v>227.9</v>
          </cell>
          <cell r="LA19">
            <v>227.98000000000002</v>
          </cell>
          <cell r="LB19">
            <v>228.07</v>
          </cell>
          <cell r="LC19">
            <v>138.02000000000001</v>
          </cell>
          <cell r="LD19">
            <v>138.07</v>
          </cell>
          <cell r="LE19">
            <v>138.13</v>
          </cell>
          <cell r="LF19">
            <v>138.19</v>
          </cell>
          <cell r="LG19">
            <v>138.25</v>
          </cell>
          <cell r="LH19">
            <v>138.34</v>
          </cell>
          <cell r="LI19">
            <v>138.41</v>
          </cell>
          <cell r="LJ19">
            <v>138.5</v>
          </cell>
          <cell r="LK19">
            <v>138.6</v>
          </cell>
          <cell r="LL19">
            <v>138.66</v>
          </cell>
          <cell r="LM19">
            <v>138.76</v>
          </cell>
          <cell r="LN19">
            <v>138.91</v>
          </cell>
          <cell r="LO19">
            <v>139.07</v>
          </cell>
          <cell r="LP19">
            <v>139.22</v>
          </cell>
          <cell r="LQ19">
            <v>139.36000000000001</v>
          </cell>
          <cell r="LR19">
            <v>139.44999999999999</v>
          </cell>
          <cell r="LS19">
            <v>139.54</v>
          </cell>
          <cell r="LT19">
            <v>139.63</v>
          </cell>
          <cell r="LU19">
            <v>139.72</v>
          </cell>
          <cell r="LV19">
            <v>139.79</v>
          </cell>
          <cell r="LW19">
            <v>139.86000000000001</v>
          </cell>
          <cell r="LX19">
            <v>139.96</v>
          </cell>
          <cell r="LY19">
            <v>140.02000000000001</v>
          </cell>
          <cell r="LZ19">
            <v>140.09</v>
          </cell>
          <cell r="MA19">
            <v>140.24</v>
          </cell>
          <cell r="MB19">
            <v>0</v>
          </cell>
          <cell r="MC19">
            <v>0</v>
          </cell>
          <cell r="MD19">
            <v>0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0</v>
          </cell>
          <cell r="HU20">
            <v>0</v>
          </cell>
          <cell r="HV20">
            <v>0</v>
          </cell>
          <cell r="HW20">
            <v>0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0</v>
          </cell>
          <cell r="IJ20">
            <v>0</v>
          </cell>
          <cell r="IK20">
            <v>2942.58</v>
          </cell>
          <cell r="IL20">
            <v>2942.58</v>
          </cell>
          <cell r="JM20">
            <v>-2426.0099999999993</v>
          </cell>
          <cell r="JO20">
            <v>0.81000000000000227</v>
          </cell>
          <cell r="JP20">
            <v>810.00000000000227</v>
          </cell>
        </row>
        <row r="21">
          <cell r="A21" t="str">
            <v>F11 Combiner</v>
          </cell>
          <cell r="B21">
            <v>26.47</v>
          </cell>
          <cell r="C21">
            <v>26.47</v>
          </cell>
          <cell r="D21">
            <v>26.47</v>
          </cell>
          <cell r="E21">
            <v>27.25</v>
          </cell>
          <cell r="F21">
            <v>27.67</v>
          </cell>
          <cell r="G21">
            <v>28.43</v>
          </cell>
          <cell r="H21">
            <v>29.28</v>
          </cell>
          <cell r="I21">
            <v>29.98</v>
          </cell>
          <cell r="J21">
            <v>30.52</v>
          </cell>
          <cell r="K21">
            <v>31.26</v>
          </cell>
          <cell r="L21">
            <v>32.1</v>
          </cell>
          <cell r="M21">
            <v>32.74</v>
          </cell>
          <cell r="N21">
            <v>33.340000000000003</v>
          </cell>
          <cell r="O21">
            <v>34.119999999999997</v>
          </cell>
          <cell r="P21">
            <v>34.909999999999997</v>
          </cell>
          <cell r="Q21">
            <v>35.54</v>
          </cell>
          <cell r="R21">
            <v>36.29</v>
          </cell>
          <cell r="S21">
            <v>37.11</v>
          </cell>
          <cell r="T21">
            <v>37.909999999999997</v>
          </cell>
          <cell r="U21">
            <v>38.74</v>
          </cell>
          <cell r="V21">
            <v>39.479999999999997</v>
          </cell>
          <cell r="W21">
            <v>39.64</v>
          </cell>
          <cell r="X21">
            <v>40.29</v>
          </cell>
          <cell r="Y21">
            <v>40.96</v>
          </cell>
          <cell r="Z21">
            <v>41.57</v>
          </cell>
          <cell r="AA21">
            <v>41.78</v>
          </cell>
          <cell r="AB21">
            <v>42.48</v>
          </cell>
          <cell r="AC21">
            <v>43.14</v>
          </cell>
          <cell r="AD21">
            <v>43.82</v>
          </cell>
          <cell r="AE21">
            <v>44.57</v>
          </cell>
          <cell r="AF21">
            <v>45.41</v>
          </cell>
          <cell r="AG21">
            <v>46.09</v>
          </cell>
          <cell r="AH21">
            <v>46.76</v>
          </cell>
          <cell r="AI21">
            <v>47.52</v>
          </cell>
          <cell r="AJ21">
            <v>48.35</v>
          </cell>
          <cell r="AK21">
            <v>48.96</v>
          </cell>
          <cell r="AL21">
            <v>49.27</v>
          </cell>
          <cell r="AM21">
            <v>49.73</v>
          </cell>
          <cell r="AN21">
            <v>50.4</v>
          </cell>
          <cell r="AO21">
            <v>51.22</v>
          </cell>
          <cell r="AP21">
            <v>51.88</v>
          </cell>
          <cell r="AQ21">
            <v>52.45</v>
          </cell>
          <cell r="AR21">
            <v>53.08</v>
          </cell>
          <cell r="AS21">
            <v>53.79</v>
          </cell>
          <cell r="AT21">
            <v>54.58</v>
          </cell>
          <cell r="AU21">
            <v>55.39</v>
          </cell>
          <cell r="AV21">
            <v>56.18</v>
          </cell>
          <cell r="AW21">
            <v>56.94</v>
          </cell>
          <cell r="AX21">
            <v>57.56</v>
          </cell>
          <cell r="AY21">
            <v>58.31</v>
          </cell>
          <cell r="AZ21">
            <v>59.12</v>
          </cell>
          <cell r="BA21">
            <v>59.82</v>
          </cell>
          <cell r="BB21">
            <v>60.67</v>
          </cell>
          <cell r="BC21">
            <v>61.46</v>
          </cell>
          <cell r="BD21">
            <v>62.27</v>
          </cell>
          <cell r="BE21">
            <v>63.05</v>
          </cell>
          <cell r="BF21">
            <v>63.6</v>
          </cell>
          <cell r="BG21">
            <v>64.31</v>
          </cell>
          <cell r="BH21">
            <v>64.95</v>
          </cell>
          <cell r="BI21">
            <v>65.73</v>
          </cell>
          <cell r="BJ21">
            <v>66.48</v>
          </cell>
          <cell r="BK21">
            <v>67.28</v>
          </cell>
          <cell r="BL21">
            <v>67.86</v>
          </cell>
          <cell r="BM21">
            <v>68.599999999999994</v>
          </cell>
          <cell r="BN21">
            <v>69.27</v>
          </cell>
          <cell r="BO21">
            <v>70.06</v>
          </cell>
          <cell r="BP21">
            <v>70.88</v>
          </cell>
          <cell r="BQ21">
            <v>71.72</v>
          </cell>
          <cell r="BR21">
            <v>72.430000000000007</v>
          </cell>
          <cell r="BS21">
            <v>73.13</v>
          </cell>
          <cell r="BT21">
            <v>73.42</v>
          </cell>
          <cell r="BU21">
            <v>73.849999999999994</v>
          </cell>
          <cell r="BV21">
            <v>74.540000000000006</v>
          </cell>
          <cell r="BW21">
            <v>75.83</v>
          </cell>
          <cell r="BX21">
            <v>76.16</v>
          </cell>
          <cell r="BY21">
            <v>76.989999999999995</v>
          </cell>
          <cell r="BZ21">
            <v>77.87</v>
          </cell>
          <cell r="CA21">
            <v>78.23</v>
          </cell>
          <cell r="CB21">
            <v>78.25</v>
          </cell>
          <cell r="CC21">
            <v>78.989999999999995</v>
          </cell>
          <cell r="CD21">
            <v>79.53</v>
          </cell>
          <cell r="CE21">
            <v>80.260000000000005</v>
          </cell>
          <cell r="CF21">
            <v>81.02</v>
          </cell>
          <cell r="CG21">
            <v>81.650000000000006</v>
          </cell>
          <cell r="CH21">
            <v>82.33</v>
          </cell>
          <cell r="CI21">
            <v>82.54</v>
          </cell>
          <cell r="CJ21">
            <v>83.06</v>
          </cell>
          <cell r="CK21">
            <v>83.65</v>
          </cell>
          <cell r="CL21">
            <v>84.39</v>
          </cell>
          <cell r="CM21">
            <v>85.24</v>
          </cell>
          <cell r="CN21">
            <v>86.17</v>
          </cell>
          <cell r="CO21">
            <v>86.75</v>
          </cell>
          <cell r="CP21">
            <v>87.35</v>
          </cell>
          <cell r="CQ21">
            <v>88.14</v>
          </cell>
          <cell r="CR21">
            <v>88.92</v>
          </cell>
          <cell r="CS21">
            <v>89.76</v>
          </cell>
          <cell r="CT21">
            <v>90.41</v>
          </cell>
          <cell r="CU21">
            <v>91.04</v>
          </cell>
          <cell r="CV21">
            <v>91.65</v>
          </cell>
          <cell r="CW21">
            <v>92.27</v>
          </cell>
          <cell r="CX21">
            <v>92.95</v>
          </cell>
          <cell r="CY21">
            <v>93.71</v>
          </cell>
          <cell r="CZ21">
            <v>94.39</v>
          </cell>
          <cell r="DA21">
            <v>95.28</v>
          </cell>
          <cell r="DB21">
            <v>96.07</v>
          </cell>
          <cell r="DC21">
            <v>96.53</v>
          </cell>
          <cell r="DD21">
            <v>96.72</v>
          </cell>
          <cell r="DE21">
            <v>96.78</v>
          </cell>
          <cell r="DF21">
            <v>96.79</v>
          </cell>
          <cell r="DG21">
            <v>96.79</v>
          </cell>
          <cell r="DH21">
            <v>96.79</v>
          </cell>
          <cell r="DI21">
            <v>96.79</v>
          </cell>
          <cell r="DJ21">
            <v>96.79</v>
          </cell>
          <cell r="DK21">
            <v>97.02</v>
          </cell>
          <cell r="DL21">
            <v>97.28</v>
          </cell>
          <cell r="DM21">
            <v>97.94</v>
          </cell>
          <cell r="DN21">
            <v>98.81</v>
          </cell>
          <cell r="DO21">
            <v>99.43</v>
          </cell>
          <cell r="DP21">
            <v>100.08</v>
          </cell>
          <cell r="DQ21">
            <v>100.7</v>
          </cell>
          <cell r="DR21">
            <v>101.45</v>
          </cell>
          <cell r="DS21">
            <v>102.32</v>
          </cell>
          <cell r="DT21">
            <v>102.84</v>
          </cell>
          <cell r="DU21">
            <v>103.62</v>
          </cell>
          <cell r="DV21">
            <v>104.36</v>
          </cell>
          <cell r="DW21">
            <v>105.13</v>
          </cell>
          <cell r="DX21">
            <v>105.47</v>
          </cell>
          <cell r="DY21">
            <v>105.56</v>
          </cell>
          <cell r="DZ21">
            <v>106.32</v>
          </cell>
          <cell r="EA21">
            <v>107.14</v>
          </cell>
          <cell r="EB21">
            <v>107.81</v>
          </cell>
          <cell r="EC21">
            <v>108.7</v>
          </cell>
          <cell r="ED21">
            <v>109.41</v>
          </cell>
          <cell r="EE21">
            <v>106.38000000000001</v>
          </cell>
          <cell r="EF21">
            <v>106.97630000000001</v>
          </cell>
          <cell r="EG21">
            <v>110.03</v>
          </cell>
          <cell r="EH21">
            <v>106.22999999999999</v>
          </cell>
          <cell r="EI21">
            <v>112.63</v>
          </cell>
          <cell r="EJ21">
            <v>113.3</v>
          </cell>
          <cell r="EK21">
            <v>114.27</v>
          </cell>
          <cell r="EL21">
            <v>114.37</v>
          </cell>
          <cell r="EM21">
            <v>114.78</v>
          </cell>
          <cell r="EN21">
            <v>115.48</v>
          </cell>
          <cell r="EO21">
            <v>116.13</v>
          </cell>
          <cell r="EP21">
            <v>116.99</v>
          </cell>
          <cell r="EQ21">
            <v>117.51</v>
          </cell>
          <cell r="ER21">
            <v>117.85</v>
          </cell>
          <cell r="ES21">
            <v>118.43</v>
          </cell>
          <cell r="ET21">
            <v>119.01</v>
          </cell>
          <cell r="EU21">
            <v>119.74</v>
          </cell>
          <cell r="EV21">
            <v>120.35</v>
          </cell>
          <cell r="EW21">
            <v>121.23</v>
          </cell>
          <cell r="EX21">
            <v>122</v>
          </cell>
          <cell r="EY21">
            <v>122.76</v>
          </cell>
          <cell r="EZ21">
            <v>123.52</v>
          </cell>
          <cell r="FA21">
            <v>124.18</v>
          </cell>
          <cell r="FB21">
            <v>76.91</v>
          </cell>
          <cell r="FC21">
            <v>125.79</v>
          </cell>
          <cell r="FD21">
            <v>126.53</v>
          </cell>
          <cell r="FE21">
            <v>127.32</v>
          </cell>
          <cell r="FF21">
            <v>127.97</v>
          </cell>
          <cell r="FG21">
            <v>128.69999999999999</v>
          </cell>
          <cell r="FH21">
            <v>129.41999999999999</v>
          </cell>
          <cell r="FI21">
            <v>130.27000000000001</v>
          </cell>
          <cell r="FJ21">
            <v>131.11000000000001</v>
          </cell>
          <cell r="FK21">
            <v>131.97999999999999</v>
          </cell>
          <cell r="FL21">
            <v>132.75</v>
          </cell>
          <cell r="FM21">
            <v>133.46</v>
          </cell>
          <cell r="FN21">
            <v>133.94</v>
          </cell>
          <cell r="FO21">
            <v>134.69</v>
          </cell>
          <cell r="FP21">
            <v>135.27000000000001</v>
          </cell>
          <cell r="FQ21">
            <v>136.01</v>
          </cell>
          <cell r="FR21">
            <v>136.77000000000001</v>
          </cell>
          <cell r="FS21">
            <v>137.63</v>
          </cell>
          <cell r="FT21">
            <v>138.36000000000001</v>
          </cell>
          <cell r="FU21">
            <v>139.06</v>
          </cell>
          <cell r="FV21">
            <v>139.63</v>
          </cell>
          <cell r="FW21">
            <v>140.4</v>
          </cell>
          <cell r="FX21">
            <v>141.22</v>
          </cell>
          <cell r="FY21">
            <v>142</v>
          </cell>
          <cell r="FZ21">
            <v>142.88</v>
          </cell>
          <cell r="GA21">
            <v>143.56</v>
          </cell>
          <cell r="GB21">
            <v>144.05000000000001</v>
          </cell>
          <cell r="GC21">
            <v>144.19</v>
          </cell>
          <cell r="GD21">
            <v>144.27000000000001</v>
          </cell>
          <cell r="GE21">
            <v>144.32</v>
          </cell>
          <cell r="GF21">
            <v>144.38</v>
          </cell>
          <cell r="GG21">
            <v>144.43</v>
          </cell>
          <cell r="GH21">
            <v>144.49</v>
          </cell>
          <cell r="GI21">
            <v>144.52000000000001</v>
          </cell>
          <cell r="GJ21">
            <v>144.57</v>
          </cell>
          <cell r="GK21">
            <v>144.61000000000001</v>
          </cell>
          <cell r="GL21">
            <v>144.61000000000001</v>
          </cell>
          <cell r="GM21">
            <v>144.72</v>
          </cell>
          <cell r="GN21">
            <v>144.85</v>
          </cell>
          <cell r="GO21">
            <v>144.88</v>
          </cell>
          <cell r="GP21">
            <v>144.91</v>
          </cell>
          <cell r="GQ21">
            <v>145.65</v>
          </cell>
          <cell r="GR21">
            <v>146.41999999999999</v>
          </cell>
          <cell r="GS21">
            <v>147.22999999999999</v>
          </cell>
          <cell r="GT21">
            <v>148.06</v>
          </cell>
          <cell r="GU21">
            <v>148.72999999999999</v>
          </cell>
          <cell r="GV21">
            <v>149.57</v>
          </cell>
          <cell r="GW21">
            <v>149.66999999999999</v>
          </cell>
          <cell r="GX21">
            <v>149.75</v>
          </cell>
          <cell r="GY21">
            <v>149.81</v>
          </cell>
          <cell r="GZ21">
            <v>150.55000000000001</v>
          </cell>
          <cell r="HA21">
            <v>151.37</v>
          </cell>
          <cell r="HB21">
            <v>152.24</v>
          </cell>
          <cell r="HC21">
            <v>152.96</v>
          </cell>
          <cell r="HD21">
            <v>153.19</v>
          </cell>
          <cell r="HE21">
            <v>153.63999999999999</v>
          </cell>
          <cell r="HF21">
            <v>154.25</v>
          </cell>
          <cell r="HG21">
            <v>154.9</v>
          </cell>
          <cell r="HH21">
            <v>155.63999999999999</v>
          </cell>
          <cell r="HI21">
            <v>156.27000000000001</v>
          </cell>
          <cell r="HJ21">
            <v>157.02000000000001</v>
          </cell>
          <cell r="HK21">
            <v>157.86000000000001</v>
          </cell>
          <cell r="HL21">
            <v>158.62</v>
          </cell>
          <cell r="HM21">
            <v>159.28</v>
          </cell>
          <cell r="HN21">
            <v>160.06</v>
          </cell>
          <cell r="HO21">
            <v>160.88</v>
          </cell>
          <cell r="HP21">
            <v>161.30000000000001</v>
          </cell>
          <cell r="HQ21">
            <v>161.58000000000001</v>
          </cell>
          <cell r="HR21">
            <v>161.91999999999999</v>
          </cell>
          <cell r="HS21">
            <v>162.38999999999999</v>
          </cell>
          <cell r="HT21">
            <v>163.03</v>
          </cell>
          <cell r="HU21">
            <v>163.87</v>
          </cell>
          <cell r="HV21">
            <v>164.7</v>
          </cell>
          <cell r="HW21">
            <v>165.44</v>
          </cell>
          <cell r="HX21">
            <v>166.17</v>
          </cell>
          <cell r="HY21">
            <v>166.54</v>
          </cell>
          <cell r="HZ21">
            <v>167.12</v>
          </cell>
          <cell r="IA21">
            <v>167.89</v>
          </cell>
          <cell r="IB21">
            <v>168.02</v>
          </cell>
          <cell r="IC21">
            <v>168.8</v>
          </cell>
          <cell r="ID21">
            <v>169.56</v>
          </cell>
          <cell r="IE21">
            <v>170.34</v>
          </cell>
          <cell r="IF21">
            <v>171.02</v>
          </cell>
          <cell r="IG21">
            <v>171.62</v>
          </cell>
          <cell r="IH21">
            <v>172.36</v>
          </cell>
          <cell r="II21">
            <v>173.06</v>
          </cell>
          <cell r="IJ21">
            <v>173.26</v>
          </cell>
          <cell r="IK21">
            <v>173.53</v>
          </cell>
          <cell r="IL21">
            <v>173.8</v>
          </cell>
          <cell r="IM21">
            <v>173.94</v>
          </cell>
          <cell r="IN21">
            <v>174.79</v>
          </cell>
          <cell r="IO21">
            <v>175.58</v>
          </cell>
          <cell r="IP21">
            <v>175.79</v>
          </cell>
          <cell r="IQ21">
            <v>176.36</v>
          </cell>
          <cell r="IR21">
            <v>177.13</v>
          </cell>
          <cell r="IS21">
            <v>177.21</v>
          </cell>
          <cell r="IT21">
            <v>177.26</v>
          </cell>
          <cell r="IU21">
            <v>177.7</v>
          </cell>
          <cell r="IV21">
            <v>178.38</v>
          </cell>
          <cell r="IW21">
            <v>179.1</v>
          </cell>
          <cell r="IX21">
            <v>179.8</v>
          </cell>
          <cell r="IY21">
            <v>179.88</v>
          </cell>
          <cell r="IZ21">
            <v>179.92</v>
          </cell>
          <cell r="JA21">
            <v>179.94</v>
          </cell>
          <cell r="JB21">
            <v>179.94</v>
          </cell>
          <cell r="JC21">
            <v>180.48</v>
          </cell>
          <cell r="JD21">
            <v>181.08</v>
          </cell>
          <cell r="JE21">
            <v>181.69</v>
          </cell>
          <cell r="JF21">
            <v>182.29</v>
          </cell>
          <cell r="JG21">
            <v>182.69</v>
          </cell>
          <cell r="JH21">
            <v>182.69</v>
          </cell>
          <cell r="JI21">
            <v>183.32</v>
          </cell>
          <cell r="JJ21">
            <v>183.92</v>
          </cell>
          <cell r="JK21">
            <v>184.62</v>
          </cell>
          <cell r="JL21">
            <v>185.34</v>
          </cell>
          <cell r="JM21">
            <v>185.98</v>
          </cell>
          <cell r="JN21">
            <v>186.38</v>
          </cell>
          <cell r="JO21">
            <v>186.96</v>
          </cell>
          <cell r="JP21">
            <v>187.42</v>
          </cell>
          <cell r="JQ21">
            <v>187.67</v>
          </cell>
          <cell r="JR21">
            <v>188.18</v>
          </cell>
          <cell r="JS21">
            <v>188.43</v>
          </cell>
          <cell r="JT21">
            <v>188.53</v>
          </cell>
          <cell r="JU21">
            <v>188.62</v>
          </cell>
          <cell r="JV21">
            <v>188.68</v>
          </cell>
          <cell r="JW21">
            <v>189.29</v>
          </cell>
          <cell r="JX21">
            <v>189.84</v>
          </cell>
          <cell r="JY21">
            <v>190.44</v>
          </cell>
          <cell r="JZ21">
            <v>191.1</v>
          </cell>
          <cell r="KA21">
            <v>191.76</v>
          </cell>
          <cell r="KB21">
            <v>191.83</v>
          </cell>
          <cell r="KC21">
            <v>191.83</v>
          </cell>
          <cell r="KD21">
            <v>191.97</v>
          </cell>
          <cell r="KE21">
            <v>192.05</v>
          </cell>
          <cell r="KF21">
            <v>192.54</v>
          </cell>
          <cell r="KG21">
            <v>192.99</v>
          </cell>
          <cell r="KH21">
            <v>193.5</v>
          </cell>
          <cell r="KI21">
            <v>194.03</v>
          </cell>
          <cell r="KJ21">
            <v>194.28</v>
          </cell>
          <cell r="KK21">
            <v>194.63</v>
          </cell>
          <cell r="KL21">
            <v>195.03</v>
          </cell>
          <cell r="KM21">
            <v>195.45</v>
          </cell>
          <cell r="KN21">
            <v>196.01</v>
          </cell>
          <cell r="KO21">
            <v>196.73</v>
          </cell>
          <cell r="KP21">
            <v>197.07999999999998</v>
          </cell>
          <cell r="KQ21">
            <v>197.52</v>
          </cell>
          <cell r="KR21">
            <v>197.99</v>
          </cell>
          <cell r="KS21">
            <v>198.57</v>
          </cell>
          <cell r="KT21">
            <v>199.25</v>
          </cell>
          <cell r="KU21">
            <v>199.81</v>
          </cell>
          <cell r="KV21">
            <v>199.95</v>
          </cell>
          <cell r="KW21">
            <v>199.98</v>
          </cell>
          <cell r="KX21">
            <v>199.98</v>
          </cell>
          <cell r="KY21">
            <v>200.51</v>
          </cell>
          <cell r="KZ21">
            <v>200.97</v>
          </cell>
          <cell r="LA21">
            <v>201.44</v>
          </cell>
          <cell r="LB21">
            <v>202.19</v>
          </cell>
          <cell r="LC21">
            <v>202.74</v>
          </cell>
          <cell r="LD21">
            <v>202.92</v>
          </cell>
          <cell r="LE21">
            <v>203.02</v>
          </cell>
          <cell r="LF21">
            <v>203.58</v>
          </cell>
          <cell r="LG21">
            <v>204.1</v>
          </cell>
          <cell r="LH21">
            <v>204.67</v>
          </cell>
          <cell r="LI21">
            <v>204.89</v>
          </cell>
          <cell r="LJ21">
            <v>205.03</v>
          </cell>
          <cell r="LK21">
            <v>205.18</v>
          </cell>
          <cell r="LL21">
            <v>205.23</v>
          </cell>
          <cell r="LM21">
            <v>205.28</v>
          </cell>
          <cell r="LN21">
            <v>205.93</v>
          </cell>
          <cell r="LO21">
            <v>205.93</v>
          </cell>
          <cell r="LP21">
            <v>206.59</v>
          </cell>
          <cell r="LQ21">
            <v>206.86</v>
          </cell>
          <cell r="LR21">
            <v>207.11</v>
          </cell>
          <cell r="LS21">
            <v>207.16</v>
          </cell>
          <cell r="LT21">
            <v>207.59</v>
          </cell>
          <cell r="LU21">
            <v>207.91</v>
          </cell>
          <cell r="LV21">
            <v>208.28</v>
          </cell>
          <cell r="LW21">
            <v>208.53</v>
          </cell>
          <cell r="LX21">
            <v>208.68</v>
          </cell>
          <cell r="LY21">
            <v>208.74</v>
          </cell>
          <cell r="LZ21">
            <v>208.79</v>
          </cell>
          <cell r="MA21">
            <v>209.26</v>
          </cell>
          <cell r="MB21">
            <v>0</v>
          </cell>
          <cell r="MC21">
            <v>0</v>
          </cell>
          <cell r="MD21">
            <v>0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</row>
        <row r="22">
          <cell r="A22" t="str">
            <v>Solaris Filtro Carbon</v>
          </cell>
          <cell r="B22">
            <v>4.43</v>
          </cell>
          <cell r="C22">
            <v>4.43</v>
          </cell>
          <cell r="D22">
            <v>4.43</v>
          </cell>
          <cell r="E22">
            <v>4.6100000000000003</v>
          </cell>
          <cell r="F22">
            <v>4.78</v>
          </cell>
          <cell r="G22">
            <v>4.9800000000000004</v>
          </cell>
          <cell r="H22">
            <v>5.0999999999999996</v>
          </cell>
          <cell r="I22">
            <v>5.1100000000000003</v>
          </cell>
          <cell r="J22">
            <v>5.36</v>
          </cell>
          <cell r="K22">
            <v>5.59</v>
          </cell>
          <cell r="L22">
            <v>5.95</v>
          </cell>
          <cell r="M22">
            <v>6.27</v>
          </cell>
          <cell r="N22">
            <v>6.45</v>
          </cell>
          <cell r="O22">
            <v>6.47</v>
          </cell>
          <cell r="P22">
            <v>6.48</v>
          </cell>
          <cell r="Q22">
            <v>6.77</v>
          </cell>
          <cell r="R22">
            <v>7.12</v>
          </cell>
          <cell r="S22">
            <v>7.43</v>
          </cell>
          <cell r="T22">
            <v>7.75</v>
          </cell>
          <cell r="U22">
            <v>7.86</v>
          </cell>
          <cell r="V22">
            <v>7.86</v>
          </cell>
          <cell r="W22">
            <v>7.88</v>
          </cell>
          <cell r="X22">
            <v>7.91</v>
          </cell>
          <cell r="Y22">
            <v>8.06</v>
          </cell>
          <cell r="Z22">
            <v>8.34</v>
          </cell>
          <cell r="AA22">
            <v>8.74</v>
          </cell>
          <cell r="AB22">
            <v>9.0500000000000007</v>
          </cell>
          <cell r="AC22">
            <v>9.36</v>
          </cell>
          <cell r="AD22">
            <v>9.5299999999999994</v>
          </cell>
          <cell r="AE22">
            <v>21.41</v>
          </cell>
          <cell r="AF22">
            <v>21.94</v>
          </cell>
          <cell r="AG22">
            <v>22.42</v>
          </cell>
          <cell r="AH22">
            <v>23.02</v>
          </cell>
          <cell r="AI22">
            <v>23.32</v>
          </cell>
          <cell r="AJ22">
            <v>23.47</v>
          </cell>
          <cell r="AK22">
            <v>23.61</v>
          </cell>
          <cell r="AL22">
            <v>23.75</v>
          </cell>
          <cell r="AM22">
            <v>24.26</v>
          </cell>
          <cell r="AN22">
            <v>24.75</v>
          </cell>
          <cell r="AO22">
            <v>25.22</v>
          </cell>
          <cell r="AP22">
            <v>25.75</v>
          </cell>
          <cell r="AQ22">
            <v>26.12</v>
          </cell>
          <cell r="AR22">
            <v>26.26</v>
          </cell>
          <cell r="AS22">
            <v>26.85</v>
          </cell>
          <cell r="AT22">
            <v>27.45</v>
          </cell>
          <cell r="AU22">
            <v>27.98</v>
          </cell>
          <cell r="AV22">
            <v>28.52</v>
          </cell>
          <cell r="AW22">
            <v>28.86</v>
          </cell>
          <cell r="AX22">
            <v>28.88</v>
          </cell>
          <cell r="AY22">
            <v>28.89</v>
          </cell>
          <cell r="AZ22">
            <v>29.41</v>
          </cell>
          <cell r="BA22">
            <v>29.92</v>
          </cell>
          <cell r="BB22">
            <v>30.47</v>
          </cell>
          <cell r="BC22">
            <v>30.93</v>
          </cell>
          <cell r="BD22">
            <v>31.51</v>
          </cell>
          <cell r="BE22">
            <v>31.86</v>
          </cell>
          <cell r="BF22">
            <v>32.020000000000003</v>
          </cell>
          <cell r="BG22">
            <v>32.590000000000003</v>
          </cell>
          <cell r="BH22">
            <v>32.979999999999997</v>
          </cell>
          <cell r="BI22">
            <v>33.56</v>
          </cell>
          <cell r="BJ22">
            <v>34.14</v>
          </cell>
          <cell r="BK22">
            <v>34.69</v>
          </cell>
          <cell r="BL22">
            <v>34.83</v>
          </cell>
          <cell r="BM22">
            <v>34.979999999999997</v>
          </cell>
          <cell r="BN22">
            <v>35.450000000000003</v>
          </cell>
          <cell r="BO22">
            <v>35.99</v>
          </cell>
          <cell r="BP22">
            <v>36.549999999999997</v>
          </cell>
          <cell r="BQ22">
            <v>37.07</v>
          </cell>
          <cell r="BR22">
            <v>37.5</v>
          </cell>
          <cell r="BS22">
            <v>38.049999999999997</v>
          </cell>
          <cell r="BT22">
            <v>38.549999999999997</v>
          </cell>
          <cell r="BU22">
            <v>39.14</v>
          </cell>
          <cell r="BV22">
            <v>39.74</v>
          </cell>
          <cell r="BW22">
            <v>40.24</v>
          </cell>
          <cell r="BX22">
            <v>40.69</v>
          </cell>
          <cell r="BY22">
            <v>41.11</v>
          </cell>
          <cell r="BZ22">
            <v>41.41</v>
          </cell>
          <cell r="CA22">
            <v>41.74</v>
          </cell>
          <cell r="CB22">
            <v>42.04</v>
          </cell>
          <cell r="CC22">
            <v>42.59</v>
          </cell>
          <cell r="CD22">
            <v>43.03</v>
          </cell>
          <cell r="CE22">
            <v>43.57</v>
          </cell>
          <cell r="CF22">
            <v>44.11</v>
          </cell>
          <cell r="CG22">
            <v>44.41</v>
          </cell>
          <cell r="CH22">
            <v>44.72</v>
          </cell>
          <cell r="CI22">
            <v>45.32</v>
          </cell>
          <cell r="CJ22">
            <v>45.91</v>
          </cell>
          <cell r="CK22">
            <v>46.39</v>
          </cell>
          <cell r="CL22">
            <v>46.92</v>
          </cell>
          <cell r="CM22">
            <v>47.36</v>
          </cell>
          <cell r="CN22">
            <v>47.49</v>
          </cell>
          <cell r="CO22">
            <v>47.6</v>
          </cell>
          <cell r="CP22">
            <v>48.13</v>
          </cell>
          <cell r="CQ22">
            <v>48.66</v>
          </cell>
          <cell r="CR22">
            <v>49.19</v>
          </cell>
          <cell r="CS22">
            <v>49.74</v>
          </cell>
          <cell r="CT22">
            <v>50.29</v>
          </cell>
          <cell r="CU22">
            <v>50.51</v>
          </cell>
          <cell r="CV22">
            <v>50.64</v>
          </cell>
          <cell r="CW22">
            <v>51.15</v>
          </cell>
          <cell r="CX22">
            <v>51.63</v>
          </cell>
          <cell r="CY22">
            <v>52.2</v>
          </cell>
          <cell r="CZ22">
            <v>52.53</v>
          </cell>
          <cell r="DA22">
            <v>52.78</v>
          </cell>
          <cell r="DB22">
            <v>53</v>
          </cell>
          <cell r="DC22">
            <v>53.19</v>
          </cell>
          <cell r="DD22">
            <v>53.55</v>
          </cell>
          <cell r="DE22">
            <v>53.97</v>
          </cell>
          <cell r="DF22">
            <v>53.97</v>
          </cell>
          <cell r="DG22">
            <v>53.97</v>
          </cell>
          <cell r="DH22">
            <v>53.97</v>
          </cell>
          <cell r="DI22">
            <v>53.97</v>
          </cell>
          <cell r="DJ22">
            <v>53.97</v>
          </cell>
          <cell r="DK22">
            <v>54.56</v>
          </cell>
          <cell r="DL22">
            <v>55.08</v>
          </cell>
          <cell r="DM22">
            <v>55.64</v>
          </cell>
          <cell r="DN22">
            <v>56.18</v>
          </cell>
          <cell r="DO22">
            <v>56.72</v>
          </cell>
          <cell r="DP22">
            <v>57.03</v>
          </cell>
          <cell r="DQ22">
            <v>57.43</v>
          </cell>
          <cell r="DR22">
            <v>58.03</v>
          </cell>
          <cell r="DS22">
            <v>58.62</v>
          </cell>
          <cell r="DT22">
            <v>59.17</v>
          </cell>
          <cell r="DU22">
            <v>59.74</v>
          </cell>
          <cell r="DV22">
            <v>60.33</v>
          </cell>
          <cell r="DW22">
            <v>60.61</v>
          </cell>
          <cell r="DX22">
            <v>61.07</v>
          </cell>
          <cell r="DY22">
            <v>61.66</v>
          </cell>
          <cell r="DZ22">
            <v>62.24</v>
          </cell>
          <cell r="EA22">
            <v>62.86</v>
          </cell>
          <cell r="EB22">
            <v>63.45</v>
          </cell>
          <cell r="EC22">
            <v>64.03</v>
          </cell>
          <cell r="ED22">
            <v>64.650000000000006</v>
          </cell>
          <cell r="EE22">
            <v>62.279999999999994</v>
          </cell>
          <cell r="EF22">
            <v>62.805099999999996</v>
          </cell>
          <cell r="EG22">
            <v>65.14</v>
          </cell>
          <cell r="EH22">
            <v>61.650000000000006</v>
          </cell>
          <cell r="EI22">
            <v>67.56</v>
          </cell>
          <cell r="EJ22">
            <v>67.98</v>
          </cell>
          <cell r="EK22">
            <v>68.14</v>
          </cell>
          <cell r="EL22">
            <v>68.22</v>
          </cell>
          <cell r="EM22">
            <v>68.81</v>
          </cell>
          <cell r="EN22">
            <v>69.45</v>
          </cell>
          <cell r="EO22">
            <v>70.09</v>
          </cell>
          <cell r="EP22">
            <v>70.63</v>
          </cell>
          <cell r="EQ22">
            <v>71.25</v>
          </cell>
          <cell r="ER22">
            <v>71.67</v>
          </cell>
          <cell r="ES22">
            <v>71.959999999999994</v>
          </cell>
          <cell r="ET22">
            <v>72.510000000000005</v>
          </cell>
          <cell r="EU22">
            <v>73.08</v>
          </cell>
          <cell r="EV22">
            <v>73.64</v>
          </cell>
          <cell r="EW22">
            <v>74.28</v>
          </cell>
          <cell r="EX22">
            <v>74.88</v>
          </cell>
          <cell r="EY22">
            <v>75.319999999999993</v>
          </cell>
          <cell r="EZ22">
            <v>75.87</v>
          </cell>
          <cell r="FA22">
            <v>76.47</v>
          </cell>
          <cell r="FB22">
            <v>53.31</v>
          </cell>
          <cell r="FC22">
            <v>77.28</v>
          </cell>
          <cell r="FD22">
            <v>77.73</v>
          </cell>
          <cell r="FE22">
            <v>78.16</v>
          </cell>
          <cell r="FF22">
            <v>78.78</v>
          </cell>
          <cell r="FG22">
            <v>79.400000000000006</v>
          </cell>
          <cell r="FH22">
            <v>79.92</v>
          </cell>
          <cell r="FI22">
            <v>80.53</v>
          </cell>
          <cell r="FJ22">
            <v>81.19</v>
          </cell>
          <cell r="FK22">
            <v>81.86</v>
          </cell>
          <cell r="FL22">
            <v>82.02</v>
          </cell>
          <cell r="FM22">
            <v>82.03</v>
          </cell>
          <cell r="FN22">
            <v>82.11</v>
          </cell>
          <cell r="FO22">
            <v>82.38</v>
          </cell>
          <cell r="FP22">
            <v>83</v>
          </cell>
          <cell r="FQ22">
            <v>83.57</v>
          </cell>
          <cell r="FR22">
            <v>84.13</v>
          </cell>
          <cell r="FS22">
            <v>84.81</v>
          </cell>
          <cell r="FT22">
            <v>85.28</v>
          </cell>
          <cell r="FU22">
            <v>85.68</v>
          </cell>
          <cell r="FV22">
            <v>86.04</v>
          </cell>
          <cell r="FW22">
            <v>86.53</v>
          </cell>
          <cell r="FX22">
            <v>86.78</v>
          </cell>
          <cell r="FY22">
            <v>87.33</v>
          </cell>
          <cell r="FZ22">
            <v>87.64</v>
          </cell>
          <cell r="GA22">
            <v>87.78</v>
          </cell>
          <cell r="GB22">
            <v>87.92</v>
          </cell>
          <cell r="GC22">
            <v>88.09</v>
          </cell>
          <cell r="GD22">
            <v>88.38</v>
          </cell>
          <cell r="GE22">
            <v>88.9</v>
          </cell>
          <cell r="GF22">
            <v>89.46</v>
          </cell>
          <cell r="GG22">
            <v>89.95</v>
          </cell>
          <cell r="GH22">
            <v>90.28</v>
          </cell>
          <cell r="GI22">
            <v>90.37</v>
          </cell>
          <cell r="GJ22">
            <v>90.48</v>
          </cell>
          <cell r="GK22">
            <v>90.6</v>
          </cell>
          <cell r="GL22">
            <v>90.71</v>
          </cell>
          <cell r="GM22">
            <v>90.83</v>
          </cell>
          <cell r="GN22">
            <v>90.95</v>
          </cell>
          <cell r="GO22">
            <v>91.07</v>
          </cell>
          <cell r="GP22">
            <v>91.18</v>
          </cell>
          <cell r="GQ22">
            <v>91.45</v>
          </cell>
          <cell r="GR22">
            <v>91.96</v>
          </cell>
          <cell r="GS22">
            <v>92.47</v>
          </cell>
          <cell r="GT22">
            <v>92.97</v>
          </cell>
          <cell r="GU22">
            <v>93.22</v>
          </cell>
          <cell r="GV22">
            <v>93.36</v>
          </cell>
          <cell r="GW22">
            <v>93.49</v>
          </cell>
          <cell r="GX22">
            <v>93.84</v>
          </cell>
          <cell r="GY22">
            <v>94.43</v>
          </cell>
          <cell r="GZ22">
            <v>94.97</v>
          </cell>
          <cell r="HA22">
            <v>95.51</v>
          </cell>
          <cell r="HB22">
            <v>95.99</v>
          </cell>
          <cell r="HC22">
            <v>96.15</v>
          </cell>
          <cell r="HD22">
            <v>96.27</v>
          </cell>
          <cell r="HE22">
            <v>96.82</v>
          </cell>
          <cell r="HF22">
            <v>97.33</v>
          </cell>
          <cell r="HG22">
            <v>97.64</v>
          </cell>
          <cell r="HH22">
            <v>98.2</v>
          </cell>
          <cell r="HI22">
            <v>98.45</v>
          </cell>
          <cell r="HJ22">
            <v>98.6</v>
          </cell>
          <cell r="HK22">
            <v>98.73</v>
          </cell>
          <cell r="HL22">
            <v>99.14</v>
          </cell>
          <cell r="HM22">
            <v>99.51</v>
          </cell>
          <cell r="HN22">
            <v>99.85</v>
          </cell>
          <cell r="HO22">
            <v>100.25</v>
          </cell>
          <cell r="HP22">
            <v>100.56</v>
          </cell>
          <cell r="HQ22">
            <v>100.69</v>
          </cell>
          <cell r="HR22">
            <v>100.82</v>
          </cell>
          <cell r="HS22">
            <v>101.37</v>
          </cell>
          <cell r="HT22">
            <v>101.93</v>
          </cell>
          <cell r="HU22">
            <v>102.58</v>
          </cell>
          <cell r="HV22">
            <v>102.82</v>
          </cell>
          <cell r="HW22">
            <v>102.96</v>
          </cell>
          <cell r="HX22">
            <v>103.12</v>
          </cell>
          <cell r="HY22">
            <v>103.26</v>
          </cell>
          <cell r="HZ22">
            <v>103.66</v>
          </cell>
          <cell r="IA22">
            <v>104.04</v>
          </cell>
          <cell r="IB22">
            <v>104.09</v>
          </cell>
          <cell r="IC22">
            <v>104.51</v>
          </cell>
          <cell r="ID22">
            <v>104.66</v>
          </cell>
          <cell r="IE22">
            <v>104.79</v>
          </cell>
          <cell r="IF22">
            <v>104.9</v>
          </cell>
          <cell r="IG22">
            <v>105.29</v>
          </cell>
          <cell r="IH22">
            <v>105.68</v>
          </cell>
          <cell r="II22">
            <v>106.07</v>
          </cell>
          <cell r="IJ22">
            <v>106.5</v>
          </cell>
          <cell r="IK22">
            <v>106.46</v>
          </cell>
          <cell r="IL22">
            <v>106.61</v>
          </cell>
          <cell r="IM22">
            <v>106.75</v>
          </cell>
          <cell r="IN22">
            <v>107.36</v>
          </cell>
          <cell r="IO22">
            <v>107.96</v>
          </cell>
          <cell r="IP22">
            <v>108.21</v>
          </cell>
          <cell r="IQ22">
            <v>108.6</v>
          </cell>
          <cell r="IR22">
            <v>108.74</v>
          </cell>
          <cell r="IS22">
            <v>108.9</v>
          </cell>
          <cell r="IT22">
            <v>109.01</v>
          </cell>
          <cell r="IU22">
            <v>109.29</v>
          </cell>
          <cell r="IV22">
            <v>109.62</v>
          </cell>
          <cell r="IW22">
            <v>109.96</v>
          </cell>
          <cell r="IX22">
            <v>110.38</v>
          </cell>
          <cell r="IY22">
            <v>110.84</v>
          </cell>
          <cell r="IZ22">
            <v>111.1</v>
          </cell>
          <cell r="JA22">
            <v>11.13</v>
          </cell>
          <cell r="JB22">
            <v>11.13</v>
          </cell>
          <cell r="JC22">
            <v>11.68</v>
          </cell>
          <cell r="JD22">
            <v>12.22</v>
          </cell>
          <cell r="JE22">
            <v>12.66</v>
          </cell>
          <cell r="JF22">
            <v>12.99</v>
          </cell>
          <cell r="JG22">
            <v>13.14</v>
          </cell>
          <cell r="JH22">
            <v>13.26</v>
          </cell>
          <cell r="JI22">
            <v>13.39</v>
          </cell>
          <cell r="JJ22">
            <v>13.74</v>
          </cell>
          <cell r="JK22">
            <v>14.08</v>
          </cell>
          <cell r="JL22">
            <v>14.43</v>
          </cell>
          <cell r="JM22">
            <v>14.82</v>
          </cell>
          <cell r="JN22">
            <v>14.97</v>
          </cell>
          <cell r="JO22">
            <v>15.06</v>
          </cell>
          <cell r="JP22">
            <v>15.35</v>
          </cell>
          <cell r="JQ22">
            <v>15.72</v>
          </cell>
          <cell r="JR22">
            <v>16.239999999999998</v>
          </cell>
          <cell r="JS22">
            <v>16.46</v>
          </cell>
          <cell r="JT22">
            <v>16.600000000000001</v>
          </cell>
          <cell r="JU22">
            <v>16.75</v>
          </cell>
          <cell r="JV22">
            <v>16.87</v>
          </cell>
          <cell r="JW22">
            <v>17.25</v>
          </cell>
          <cell r="JX22">
            <v>17.62</v>
          </cell>
          <cell r="JY22">
            <v>18</v>
          </cell>
          <cell r="JZ22">
            <v>118.21</v>
          </cell>
          <cell r="KA22">
            <v>118.36</v>
          </cell>
          <cell r="KB22">
            <v>118.52</v>
          </cell>
          <cell r="KC22">
            <v>118.55</v>
          </cell>
          <cell r="KD22">
            <v>118.93</v>
          </cell>
          <cell r="KE22">
            <v>119.25</v>
          </cell>
          <cell r="KF22">
            <v>119.81</v>
          </cell>
          <cell r="KG22">
            <v>120.21</v>
          </cell>
          <cell r="KH22">
            <v>120.23</v>
          </cell>
          <cell r="KI22">
            <v>120.26</v>
          </cell>
          <cell r="KJ22">
            <v>120.28</v>
          </cell>
          <cell r="KK22">
            <v>120.67</v>
          </cell>
          <cell r="KL22">
            <v>121.07</v>
          </cell>
          <cell r="KM22">
            <v>121.42</v>
          </cell>
          <cell r="KN22">
            <v>121.82</v>
          </cell>
          <cell r="KO22">
            <v>122.07</v>
          </cell>
          <cell r="KP22">
            <v>122.14999999999999</v>
          </cell>
          <cell r="KQ22">
            <v>122.16</v>
          </cell>
          <cell r="KR22">
            <v>122.62</v>
          </cell>
          <cell r="KS22">
            <v>123.07</v>
          </cell>
          <cell r="KT22">
            <v>123.61</v>
          </cell>
          <cell r="KU22">
            <v>124.05</v>
          </cell>
          <cell r="KV22">
            <v>124.19</v>
          </cell>
          <cell r="KW22">
            <v>124.32</v>
          </cell>
          <cell r="KX22">
            <v>124.34</v>
          </cell>
          <cell r="KY22">
            <v>124.7</v>
          </cell>
          <cell r="KZ22">
            <v>125.25</v>
          </cell>
          <cell r="LA22">
            <v>125.61</v>
          </cell>
          <cell r="LB22">
            <v>125.77</v>
          </cell>
          <cell r="LC22">
            <v>125.92</v>
          </cell>
          <cell r="LD22">
            <v>125.97</v>
          </cell>
          <cell r="LE22">
            <v>126</v>
          </cell>
          <cell r="LF22">
            <v>126.35</v>
          </cell>
          <cell r="LG22">
            <v>126.71</v>
          </cell>
          <cell r="LH22">
            <v>126.87</v>
          </cell>
          <cell r="LI22">
            <v>127.33</v>
          </cell>
          <cell r="LJ22">
            <v>127.48</v>
          </cell>
          <cell r="LK22">
            <v>127.63</v>
          </cell>
          <cell r="LL22">
            <v>127.65</v>
          </cell>
          <cell r="LM22">
            <v>127.8</v>
          </cell>
          <cell r="LN22">
            <v>128.13999999999999</v>
          </cell>
          <cell r="LO22">
            <v>128.13999999999999</v>
          </cell>
          <cell r="LP22">
            <v>128.52000000000001</v>
          </cell>
          <cell r="LQ22">
            <v>128.66</v>
          </cell>
          <cell r="LR22">
            <v>128.80000000000001</v>
          </cell>
          <cell r="LS22">
            <v>128.84</v>
          </cell>
          <cell r="LT22">
            <v>129.18</v>
          </cell>
          <cell r="LU22">
            <v>129.56</v>
          </cell>
          <cell r="LV22">
            <v>129.85</v>
          </cell>
          <cell r="LW22">
            <v>130.15</v>
          </cell>
          <cell r="LX22">
            <v>130.35</v>
          </cell>
          <cell r="LY22">
            <v>130.46</v>
          </cell>
          <cell r="LZ22">
            <v>130.49</v>
          </cell>
          <cell r="MA22">
            <v>131</v>
          </cell>
          <cell r="MB22">
            <v>0</v>
          </cell>
          <cell r="MC22">
            <v>0</v>
          </cell>
          <cell r="MD22">
            <v>0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</row>
        <row r="23">
          <cell r="A23" t="str">
            <v>F10 KDF</v>
          </cell>
          <cell r="B23">
            <v>9.36</v>
          </cell>
          <cell r="C23">
            <v>9.44</v>
          </cell>
          <cell r="D23">
            <v>9.5500000000000007</v>
          </cell>
          <cell r="E23">
            <v>10.119999999999999</v>
          </cell>
          <cell r="F23">
            <v>10.69</v>
          </cell>
          <cell r="G23">
            <v>11.34</v>
          </cell>
          <cell r="H23">
            <v>11.79</v>
          </cell>
          <cell r="I23">
            <v>12.08</v>
          </cell>
          <cell r="J23">
            <v>12.7</v>
          </cell>
          <cell r="K23">
            <v>13.34</v>
          </cell>
          <cell r="L23">
            <v>13.89</v>
          </cell>
          <cell r="M23">
            <v>14.34</v>
          </cell>
          <cell r="N23">
            <v>14.77</v>
          </cell>
          <cell r="O23">
            <v>15.09</v>
          </cell>
          <cell r="P23">
            <v>15.24</v>
          </cell>
          <cell r="Q23">
            <v>15.73</v>
          </cell>
          <cell r="R23">
            <v>16.3</v>
          </cell>
          <cell r="S23">
            <v>16.899999999999999</v>
          </cell>
          <cell r="T23">
            <v>17.47</v>
          </cell>
          <cell r="U23">
            <v>17.84</v>
          </cell>
          <cell r="V23">
            <v>18</v>
          </cell>
          <cell r="W23">
            <v>18.13</v>
          </cell>
          <cell r="X23">
            <v>18.57</v>
          </cell>
          <cell r="Y23">
            <v>19.059999999999999</v>
          </cell>
          <cell r="Z23">
            <v>19.59</v>
          </cell>
          <cell r="AA23">
            <v>20.11</v>
          </cell>
          <cell r="AB23">
            <v>20.55</v>
          </cell>
          <cell r="AC23">
            <v>20.7</v>
          </cell>
          <cell r="AD23">
            <v>20.84</v>
          </cell>
          <cell r="AE23">
            <v>9.8000000000000007</v>
          </cell>
          <cell r="AF23">
            <v>10.26</v>
          </cell>
          <cell r="AG23">
            <v>10.6</v>
          </cell>
          <cell r="AH23">
            <v>11.16</v>
          </cell>
          <cell r="AI23">
            <v>11.68</v>
          </cell>
          <cell r="AJ23">
            <v>12.06</v>
          </cell>
          <cell r="AK23">
            <v>12.25</v>
          </cell>
          <cell r="AL23">
            <v>12.49</v>
          </cell>
          <cell r="AM23">
            <v>12.87</v>
          </cell>
          <cell r="AN23">
            <v>13.28</v>
          </cell>
          <cell r="AO23">
            <v>13.85</v>
          </cell>
          <cell r="AP23">
            <v>14.39</v>
          </cell>
          <cell r="AQ23">
            <v>14.95</v>
          </cell>
          <cell r="AR23">
            <v>15.34</v>
          </cell>
          <cell r="AS23">
            <v>15.8</v>
          </cell>
          <cell r="AT23">
            <v>16.28</v>
          </cell>
          <cell r="AU23">
            <v>16.79</v>
          </cell>
          <cell r="AV23">
            <v>17.23</v>
          </cell>
          <cell r="AW23">
            <v>17.47</v>
          </cell>
          <cell r="AX23">
            <v>17.62</v>
          </cell>
          <cell r="AY23">
            <v>17.649999999999999</v>
          </cell>
          <cell r="AZ23">
            <v>18.03</v>
          </cell>
          <cell r="BA23">
            <v>48.27</v>
          </cell>
          <cell r="BB23">
            <v>19.02</v>
          </cell>
          <cell r="BC23">
            <v>19.47</v>
          </cell>
          <cell r="BD23">
            <v>19.670000000000002</v>
          </cell>
          <cell r="BE23">
            <v>19.77</v>
          </cell>
          <cell r="BF23">
            <v>19.79</v>
          </cell>
          <cell r="BG23">
            <v>19.989999999999998</v>
          </cell>
          <cell r="BH23">
            <v>20.23</v>
          </cell>
          <cell r="BI23">
            <v>20.41</v>
          </cell>
          <cell r="BJ23">
            <v>20.66</v>
          </cell>
          <cell r="BK23">
            <v>20.93</v>
          </cell>
          <cell r="BL23">
            <v>20.95</v>
          </cell>
          <cell r="BM23">
            <v>21.14</v>
          </cell>
          <cell r="BN23">
            <v>21.58</v>
          </cell>
          <cell r="BO23">
            <v>21.99</v>
          </cell>
          <cell r="BP23">
            <v>22.5</v>
          </cell>
          <cell r="BQ23">
            <v>22.95</v>
          </cell>
          <cell r="BR23">
            <v>23.46</v>
          </cell>
          <cell r="BS23">
            <v>23.8</v>
          </cell>
          <cell r="BT23">
            <v>24.13</v>
          </cell>
          <cell r="BU23">
            <v>24.67</v>
          </cell>
          <cell r="BV23">
            <v>25.19</v>
          </cell>
          <cell r="BW23">
            <v>25.69</v>
          </cell>
          <cell r="BX23">
            <v>26.19</v>
          </cell>
          <cell r="BY23">
            <v>26.76</v>
          </cell>
          <cell r="BZ23">
            <v>27.22</v>
          </cell>
          <cell r="CA23">
            <v>27.26</v>
          </cell>
          <cell r="CB23">
            <v>27.3</v>
          </cell>
          <cell r="CC23">
            <v>27.61</v>
          </cell>
          <cell r="CD23">
            <v>28.08</v>
          </cell>
          <cell r="CE23">
            <v>28.58</v>
          </cell>
          <cell r="CF23">
            <v>29.05</v>
          </cell>
          <cell r="CG23">
            <v>29.57</v>
          </cell>
          <cell r="CH23">
            <v>30.07</v>
          </cell>
          <cell r="CI23">
            <v>30.28</v>
          </cell>
          <cell r="CJ23">
            <v>30.45</v>
          </cell>
          <cell r="CK23">
            <v>30.68</v>
          </cell>
          <cell r="CL23">
            <v>30.92</v>
          </cell>
          <cell r="CM23">
            <v>31.09</v>
          </cell>
          <cell r="CN23">
            <v>31.19</v>
          </cell>
          <cell r="CO23">
            <v>31.27</v>
          </cell>
          <cell r="CP23">
            <v>31.48</v>
          </cell>
          <cell r="CQ23">
            <v>31.77</v>
          </cell>
          <cell r="CR23">
            <v>32.049999999999997</v>
          </cell>
          <cell r="CS23">
            <v>32.28</v>
          </cell>
          <cell r="CT23">
            <v>32.549999999999997</v>
          </cell>
          <cell r="CU23">
            <v>32.67</v>
          </cell>
          <cell r="CV23">
            <v>32.68</v>
          </cell>
          <cell r="CW23">
            <v>33.119999999999997</v>
          </cell>
          <cell r="CX23">
            <v>33.56</v>
          </cell>
          <cell r="CY23">
            <v>33.83</v>
          </cell>
          <cell r="CZ23">
            <v>34</v>
          </cell>
          <cell r="DA23">
            <v>34.47</v>
          </cell>
          <cell r="DB23">
            <v>35.06</v>
          </cell>
          <cell r="DC23">
            <v>35.369999999999997</v>
          </cell>
          <cell r="DD23">
            <v>35.71</v>
          </cell>
          <cell r="DE23">
            <v>35.78</v>
          </cell>
          <cell r="DF23">
            <v>35.79</v>
          </cell>
          <cell r="DG23">
            <v>35.79</v>
          </cell>
          <cell r="DH23">
            <v>35.79</v>
          </cell>
          <cell r="DI23">
            <v>35.79</v>
          </cell>
          <cell r="DJ23">
            <v>35.79</v>
          </cell>
          <cell r="DK23">
            <v>35.96</v>
          </cell>
          <cell r="DL23">
            <v>36.28</v>
          </cell>
          <cell r="DM23">
            <v>36.74</v>
          </cell>
          <cell r="DN23">
            <v>37.200000000000003</v>
          </cell>
          <cell r="DO23">
            <v>37.65</v>
          </cell>
          <cell r="DP23">
            <v>38.119999999999997</v>
          </cell>
          <cell r="DQ23">
            <v>38.46</v>
          </cell>
          <cell r="DR23">
            <v>38.89</v>
          </cell>
          <cell r="DS23">
            <v>39.4</v>
          </cell>
          <cell r="DT23">
            <v>39.85</v>
          </cell>
          <cell r="DU23">
            <v>40.32</v>
          </cell>
          <cell r="DV23">
            <v>40.79</v>
          </cell>
          <cell r="DW23">
            <v>41.15</v>
          </cell>
          <cell r="DX23">
            <v>41.33</v>
          </cell>
          <cell r="DY23">
            <v>41.37</v>
          </cell>
          <cell r="DZ23">
            <v>41.92</v>
          </cell>
          <cell r="EA23">
            <v>42.49</v>
          </cell>
          <cell r="EB23">
            <v>43.06</v>
          </cell>
          <cell r="EC23">
            <v>43.64</v>
          </cell>
          <cell r="ED23">
            <v>43.98</v>
          </cell>
          <cell r="EE23">
            <v>41.94</v>
          </cell>
          <cell r="EF23">
            <v>42.447299999999998</v>
          </cell>
          <cell r="EG23">
            <v>44.4</v>
          </cell>
          <cell r="EH23">
            <v>41.88</v>
          </cell>
          <cell r="EI23">
            <v>46.25</v>
          </cell>
          <cell r="EJ23">
            <v>46.48</v>
          </cell>
          <cell r="EK23">
            <v>46.61</v>
          </cell>
          <cell r="EL23">
            <v>46.65</v>
          </cell>
          <cell r="EM23">
            <v>47.01</v>
          </cell>
          <cell r="EN23">
            <v>47.37</v>
          </cell>
          <cell r="EO23">
            <v>47.75</v>
          </cell>
          <cell r="EP23">
            <v>48.13</v>
          </cell>
          <cell r="EQ23">
            <v>48.48</v>
          </cell>
          <cell r="ER23">
            <v>48.95</v>
          </cell>
          <cell r="ES23">
            <v>49.33</v>
          </cell>
          <cell r="ET23">
            <v>49.67</v>
          </cell>
          <cell r="EU23">
            <v>50.06</v>
          </cell>
          <cell r="EV23">
            <v>50.43</v>
          </cell>
          <cell r="EW23">
            <v>51.03</v>
          </cell>
          <cell r="EX23">
            <v>51.63</v>
          </cell>
          <cell r="EY23">
            <v>52.08</v>
          </cell>
          <cell r="EZ23">
            <v>52.44</v>
          </cell>
          <cell r="FA23">
            <v>52.89</v>
          </cell>
          <cell r="FB23">
            <v>53.31</v>
          </cell>
          <cell r="FC23">
            <v>53.89</v>
          </cell>
          <cell r="FD23">
            <v>54.42</v>
          </cell>
          <cell r="FE23">
            <v>54.96</v>
          </cell>
          <cell r="FF23">
            <v>55.13</v>
          </cell>
          <cell r="FG23">
            <v>55.3</v>
          </cell>
          <cell r="FH23">
            <v>55.82</v>
          </cell>
          <cell r="FI23">
            <v>56.41</v>
          </cell>
          <cell r="FJ23" t="str">
            <v>56.71.</v>
          </cell>
          <cell r="FK23">
            <v>56.93</v>
          </cell>
          <cell r="FL23">
            <v>56.94</v>
          </cell>
          <cell r="FM23">
            <v>56.95</v>
          </cell>
          <cell r="FN23">
            <v>556.96</v>
          </cell>
          <cell r="FO23">
            <v>57.48</v>
          </cell>
          <cell r="FP23">
            <v>57.98</v>
          </cell>
          <cell r="FQ23">
            <v>58.5</v>
          </cell>
          <cell r="FR23">
            <v>58.97</v>
          </cell>
          <cell r="FS23">
            <v>59.39</v>
          </cell>
          <cell r="FT23">
            <v>59.48</v>
          </cell>
          <cell r="FU23">
            <v>59.49</v>
          </cell>
          <cell r="FV23">
            <v>59.51</v>
          </cell>
          <cell r="FW23">
            <v>59.52</v>
          </cell>
          <cell r="FX23">
            <v>59.7</v>
          </cell>
          <cell r="FY23">
            <v>59.76</v>
          </cell>
          <cell r="FZ23">
            <v>59.92</v>
          </cell>
          <cell r="GA23">
            <v>60.1</v>
          </cell>
          <cell r="GB23">
            <v>60.28</v>
          </cell>
          <cell r="GC23">
            <v>60.84</v>
          </cell>
          <cell r="GD23">
            <v>61.41</v>
          </cell>
          <cell r="GE23">
            <v>61.97</v>
          </cell>
          <cell r="GF23">
            <v>62.55</v>
          </cell>
          <cell r="GG23">
            <v>62.82</v>
          </cell>
          <cell r="GH23">
            <v>62.83</v>
          </cell>
          <cell r="GI23">
            <v>62.84</v>
          </cell>
          <cell r="GJ23">
            <v>63.31</v>
          </cell>
          <cell r="GK23">
            <v>63.74</v>
          </cell>
          <cell r="GL23">
            <v>64.13</v>
          </cell>
          <cell r="GM23">
            <v>64.62</v>
          </cell>
          <cell r="GN23">
            <v>64.94</v>
          </cell>
          <cell r="GO23">
            <v>64.95</v>
          </cell>
          <cell r="GP23">
            <v>64.97</v>
          </cell>
          <cell r="GQ23">
            <v>65.38</v>
          </cell>
          <cell r="GR23">
            <v>65.92</v>
          </cell>
          <cell r="GS23">
            <v>66.5</v>
          </cell>
          <cell r="GT23">
            <v>66.709999999999994</v>
          </cell>
          <cell r="GU23">
            <v>66.89</v>
          </cell>
          <cell r="GV23">
            <v>66.900000000000006</v>
          </cell>
          <cell r="GW23">
            <v>66.92</v>
          </cell>
          <cell r="GX23">
            <v>66.98</v>
          </cell>
          <cell r="GY23">
            <v>67.23</v>
          </cell>
          <cell r="GZ23">
            <v>67.599999999999994</v>
          </cell>
          <cell r="HA23">
            <v>67.91</v>
          </cell>
          <cell r="HB23">
            <v>68.260000000000005</v>
          </cell>
          <cell r="HC23">
            <v>68.430000000000007</v>
          </cell>
          <cell r="HD23">
            <v>68.44</v>
          </cell>
          <cell r="HE23">
            <v>68.790000000000006</v>
          </cell>
          <cell r="HF23">
            <v>69.14</v>
          </cell>
          <cell r="HG23">
            <v>69.510000000000005</v>
          </cell>
          <cell r="HH23">
            <v>69.87</v>
          </cell>
          <cell r="HI23">
            <v>70.22</v>
          </cell>
          <cell r="HJ23">
            <v>70.23</v>
          </cell>
          <cell r="HK23">
            <v>70.239999999999995</v>
          </cell>
          <cell r="HL23">
            <v>70.5</v>
          </cell>
          <cell r="HM23">
            <v>70.77</v>
          </cell>
          <cell r="HN23">
            <v>71</v>
          </cell>
          <cell r="HO23">
            <v>71.260000000000005</v>
          </cell>
          <cell r="HP23">
            <v>71.55</v>
          </cell>
          <cell r="HQ23">
            <v>71.77</v>
          </cell>
          <cell r="HR23">
            <v>71.989999999999995</v>
          </cell>
          <cell r="HS23">
            <v>72.23</v>
          </cell>
          <cell r="HT23">
            <v>72.37</v>
          </cell>
          <cell r="HU23">
            <v>72.5</v>
          </cell>
          <cell r="HV23">
            <v>72.75</v>
          </cell>
          <cell r="HW23">
            <v>73.13</v>
          </cell>
          <cell r="HX23">
            <v>73.53</v>
          </cell>
          <cell r="HY23">
            <v>73.92</v>
          </cell>
          <cell r="HZ23">
            <v>74.3</v>
          </cell>
          <cell r="IA23">
            <v>74.73</v>
          </cell>
          <cell r="IB23">
            <v>74.8</v>
          </cell>
          <cell r="IC23">
            <v>75.09</v>
          </cell>
          <cell r="ID23">
            <v>75.14</v>
          </cell>
          <cell r="IE23">
            <v>75.19</v>
          </cell>
          <cell r="IF23">
            <v>75.209999999999994</v>
          </cell>
          <cell r="IG23">
            <v>75.400000000000006</v>
          </cell>
          <cell r="IH23">
            <v>75.67</v>
          </cell>
          <cell r="II23">
            <v>75.849999999999994</v>
          </cell>
          <cell r="IJ23">
            <v>76.02</v>
          </cell>
          <cell r="IK23">
            <v>76.14</v>
          </cell>
          <cell r="IL23">
            <v>76.16</v>
          </cell>
          <cell r="IM23">
            <v>76.17</v>
          </cell>
          <cell r="IN23">
            <v>76.44</v>
          </cell>
          <cell r="IO23">
            <v>76.930000000000007</v>
          </cell>
          <cell r="IP23">
            <v>77.099999999999994</v>
          </cell>
          <cell r="IQ23">
            <v>77.5</v>
          </cell>
          <cell r="IR23">
            <v>77.900000000000006</v>
          </cell>
          <cell r="IS23">
            <v>77.92</v>
          </cell>
          <cell r="IT23">
            <v>77.930000000000007</v>
          </cell>
          <cell r="IU23">
            <v>78.38</v>
          </cell>
          <cell r="IV23">
            <v>78.790000000000006</v>
          </cell>
          <cell r="IW23">
            <v>78.900000000000006</v>
          </cell>
          <cell r="IX23">
            <v>79.010000000000005</v>
          </cell>
          <cell r="IY23">
            <v>79.14</v>
          </cell>
          <cell r="IZ23">
            <v>79.16</v>
          </cell>
          <cell r="JA23">
            <v>79.17</v>
          </cell>
          <cell r="JB23">
            <v>79.17</v>
          </cell>
          <cell r="JC23">
            <v>79.430000000000007</v>
          </cell>
          <cell r="JD23">
            <v>79.78</v>
          </cell>
          <cell r="JE23">
            <v>80.13</v>
          </cell>
          <cell r="JF23">
            <v>80.349999999999994</v>
          </cell>
          <cell r="JG23">
            <v>80.48</v>
          </cell>
          <cell r="JH23">
            <v>80.62</v>
          </cell>
          <cell r="JI23">
            <v>80.86</v>
          </cell>
          <cell r="JJ23">
            <v>81.180000000000007</v>
          </cell>
          <cell r="JK23">
            <v>81.52</v>
          </cell>
          <cell r="JL23">
            <v>81.83</v>
          </cell>
          <cell r="JM23">
            <v>82.08</v>
          </cell>
          <cell r="JN23">
            <v>82.21</v>
          </cell>
          <cell r="JO23">
            <v>82.31</v>
          </cell>
          <cell r="JP23">
            <v>82.7</v>
          </cell>
          <cell r="JQ23">
            <v>83.09</v>
          </cell>
          <cell r="JR23">
            <v>83.48</v>
          </cell>
          <cell r="JS23">
            <v>83.9</v>
          </cell>
          <cell r="JT23">
            <v>84.35</v>
          </cell>
          <cell r="JU23">
            <v>84.79</v>
          </cell>
          <cell r="JV23">
            <v>84.96</v>
          </cell>
          <cell r="JW23">
            <v>85.48</v>
          </cell>
          <cell r="JX23">
            <v>85.85</v>
          </cell>
          <cell r="JY23">
            <v>85.96</v>
          </cell>
          <cell r="JZ23">
            <v>86.06</v>
          </cell>
          <cell r="KA23">
            <v>175.43</v>
          </cell>
          <cell r="KB23">
            <v>86.18</v>
          </cell>
          <cell r="KC23">
            <v>86.19</v>
          </cell>
          <cell r="KD23">
            <v>86.36</v>
          </cell>
          <cell r="KE23">
            <v>86.7</v>
          </cell>
          <cell r="KF23">
            <v>86.94</v>
          </cell>
          <cell r="KG23">
            <v>87.11</v>
          </cell>
          <cell r="KH23">
            <v>87.2</v>
          </cell>
          <cell r="KI23">
            <v>87.28</v>
          </cell>
          <cell r="KJ23">
            <v>87.3</v>
          </cell>
          <cell r="KK23">
            <v>87.57</v>
          </cell>
          <cell r="KL23">
            <v>87.79</v>
          </cell>
          <cell r="KM23">
            <v>87.93</v>
          </cell>
          <cell r="KN23">
            <v>88</v>
          </cell>
          <cell r="KO23">
            <v>88.08</v>
          </cell>
          <cell r="KP23">
            <v>88.09</v>
          </cell>
          <cell r="KQ23">
            <v>88.09</v>
          </cell>
          <cell r="KR23">
            <v>88.26</v>
          </cell>
          <cell r="KS23">
            <v>88.52</v>
          </cell>
          <cell r="KT23">
            <v>88.99</v>
          </cell>
          <cell r="KU23">
            <v>89.18</v>
          </cell>
          <cell r="KV23">
            <v>89.35</v>
          </cell>
          <cell r="KW23">
            <v>89.36</v>
          </cell>
          <cell r="KX23">
            <v>89.37</v>
          </cell>
          <cell r="KY23">
            <v>89.85</v>
          </cell>
          <cell r="KZ23">
            <v>90.35</v>
          </cell>
          <cell r="LA23">
            <v>90.87</v>
          </cell>
          <cell r="LB23">
            <v>91.15</v>
          </cell>
          <cell r="LC23">
            <v>91.29</v>
          </cell>
          <cell r="LD23">
            <v>91.3</v>
          </cell>
          <cell r="LE23">
            <v>91.3</v>
          </cell>
          <cell r="LF23">
            <v>91.58</v>
          </cell>
          <cell r="LG23">
            <v>91.84</v>
          </cell>
          <cell r="LH23">
            <v>92.03</v>
          </cell>
          <cell r="LI23">
            <v>92.21</v>
          </cell>
          <cell r="LJ23">
            <v>92.22</v>
          </cell>
          <cell r="LK23">
            <v>92.24</v>
          </cell>
          <cell r="LL23">
            <v>92.26</v>
          </cell>
          <cell r="LM23">
            <v>92.57</v>
          </cell>
          <cell r="LN23">
            <v>93.01</v>
          </cell>
          <cell r="LO23">
            <v>93.01</v>
          </cell>
          <cell r="LP23">
            <v>93.72</v>
          </cell>
          <cell r="LQ23">
            <v>94.02</v>
          </cell>
          <cell r="LR23">
            <v>94.28</v>
          </cell>
          <cell r="LS23">
            <v>94.29</v>
          </cell>
          <cell r="LT23">
            <v>94.46</v>
          </cell>
          <cell r="LU23">
            <v>94.87</v>
          </cell>
          <cell r="LV23">
            <v>95.35</v>
          </cell>
          <cell r="LW23">
            <v>95.88</v>
          </cell>
          <cell r="LX23">
            <v>96.16</v>
          </cell>
          <cell r="LY23">
            <v>96.31</v>
          </cell>
          <cell r="LZ23">
            <v>96.33</v>
          </cell>
          <cell r="MA23">
            <v>96.49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</row>
        <row r="24">
          <cell r="A24" t="str">
            <v>KDFS 5,6,7,8,9</v>
          </cell>
          <cell r="B24">
            <v>31.06</v>
          </cell>
          <cell r="C24">
            <v>31.08</v>
          </cell>
          <cell r="D24">
            <v>31.12</v>
          </cell>
          <cell r="E24">
            <v>32.299999999999997</v>
          </cell>
          <cell r="F24">
            <v>33.42</v>
          </cell>
          <cell r="G24">
            <v>34.03</v>
          </cell>
          <cell r="H24">
            <v>34.15</v>
          </cell>
          <cell r="I24">
            <v>34.270000000000003</v>
          </cell>
          <cell r="J24">
            <v>35.64</v>
          </cell>
          <cell r="K24">
            <v>36.799999999999997</v>
          </cell>
          <cell r="L24">
            <v>38</v>
          </cell>
          <cell r="M24">
            <v>38.94</v>
          </cell>
          <cell r="N24">
            <v>39.28</v>
          </cell>
          <cell r="O24">
            <v>39.58</v>
          </cell>
          <cell r="P24">
            <v>39.67</v>
          </cell>
          <cell r="Q24">
            <v>41.01</v>
          </cell>
          <cell r="R24">
            <v>42.29</v>
          </cell>
          <cell r="S24">
            <v>43.59</v>
          </cell>
          <cell r="T24">
            <v>44.59</v>
          </cell>
          <cell r="U24">
            <v>45</v>
          </cell>
          <cell r="V24">
            <v>45.08</v>
          </cell>
          <cell r="W24">
            <v>45.18</v>
          </cell>
          <cell r="X24">
            <v>46</v>
          </cell>
          <cell r="Y24">
            <v>47.23</v>
          </cell>
          <cell r="Z24">
            <v>48.4</v>
          </cell>
          <cell r="AA24">
            <v>49.26</v>
          </cell>
          <cell r="AB24">
            <v>49.61</v>
          </cell>
          <cell r="AC24">
            <v>49.84</v>
          </cell>
          <cell r="AD24">
            <v>50.06</v>
          </cell>
          <cell r="AE24">
            <v>51.35</v>
          </cell>
          <cell r="AF24">
            <v>52.74</v>
          </cell>
          <cell r="AG24">
            <v>54.11</v>
          </cell>
          <cell r="AH24">
            <v>54.9</v>
          </cell>
          <cell r="AI24">
            <v>55.28</v>
          </cell>
          <cell r="AJ24">
            <v>55.63</v>
          </cell>
          <cell r="AK24">
            <v>55.85</v>
          </cell>
          <cell r="AL24">
            <v>56.1</v>
          </cell>
          <cell r="AM24">
            <v>57.39</v>
          </cell>
          <cell r="AN24">
            <v>58.54</v>
          </cell>
          <cell r="AO24">
            <v>59.59</v>
          </cell>
          <cell r="AP24">
            <v>60.52</v>
          </cell>
          <cell r="AQ24">
            <v>60.95</v>
          </cell>
          <cell r="AR24">
            <v>61.24</v>
          </cell>
          <cell r="AS24">
            <v>62.47</v>
          </cell>
          <cell r="AT24">
            <v>63.8</v>
          </cell>
          <cell r="AU24">
            <v>64.849999999999994</v>
          </cell>
          <cell r="AV24">
            <v>66.05</v>
          </cell>
          <cell r="AW24">
            <v>67.16</v>
          </cell>
          <cell r="AX24">
            <v>67.540000000000006</v>
          </cell>
          <cell r="AY24">
            <v>68.05</v>
          </cell>
          <cell r="AZ24">
            <v>69.28</v>
          </cell>
          <cell r="BA24">
            <v>70.58</v>
          </cell>
          <cell r="BB24">
            <v>71.84</v>
          </cell>
          <cell r="BC24">
            <v>72.92</v>
          </cell>
          <cell r="BD24">
            <v>73.61</v>
          </cell>
          <cell r="BE24">
            <v>73.86</v>
          </cell>
          <cell r="BF24">
            <v>74.010000000000005</v>
          </cell>
          <cell r="BG24">
            <v>75.13</v>
          </cell>
          <cell r="BH24">
            <v>76.599999999999994</v>
          </cell>
          <cell r="BI24">
            <v>77.88</v>
          </cell>
          <cell r="BJ24">
            <v>79.040000000000006</v>
          </cell>
          <cell r="BK24">
            <v>80.09</v>
          </cell>
          <cell r="BL24">
            <v>80.5</v>
          </cell>
          <cell r="BM24">
            <v>80.77</v>
          </cell>
          <cell r="BN24">
            <v>81.95</v>
          </cell>
          <cell r="BO24">
            <v>83.03</v>
          </cell>
          <cell r="BP24">
            <v>84.17</v>
          </cell>
          <cell r="BQ24">
            <v>85.25</v>
          </cell>
          <cell r="BR24">
            <v>86</v>
          </cell>
          <cell r="BS24">
            <v>86.32</v>
          </cell>
          <cell r="BT24">
            <v>86.44</v>
          </cell>
          <cell r="BU24">
            <v>87.53</v>
          </cell>
          <cell r="BV24">
            <v>88.9</v>
          </cell>
          <cell r="BW24">
            <v>89.88</v>
          </cell>
          <cell r="BX24">
            <v>90.89</v>
          </cell>
          <cell r="BY24">
            <v>91.65</v>
          </cell>
          <cell r="BZ24">
            <v>91.95</v>
          </cell>
          <cell r="CA24">
            <v>92.16</v>
          </cell>
          <cell r="CB24">
            <v>92.27</v>
          </cell>
          <cell r="CC24">
            <v>93.1</v>
          </cell>
          <cell r="CD24">
            <v>94.76</v>
          </cell>
          <cell r="CE24">
            <v>95.64</v>
          </cell>
          <cell r="CF24">
            <v>96.18</v>
          </cell>
          <cell r="CG24">
            <v>96.4</v>
          </cell>
          <cell r="CH24">
            <v>96.62</v>
          </cell>
          <cell r="CI24">
            <v>97.85</v>
          </cell>
          <cell r="CJ24">
            <v>99.16</v>
          </cell>
          <cell r="CK24">
            <v>100.28</v>
          </cell>
          <cell r="CL24">
            <v>101.42</v>
          </cell>
          <cell r="CM24">
            <v>102.22</v>
          </cell>
          <cell r="CN24">
            <v>102.47</v>
          </cell>
          <cell r="CO24">
            <v>102.68</v>
          </cell>
          <cell r="CP24">
            <v>103.8</v>
          </cell>
          <cell r="CQ24">
            <v>105.1</v>
          </cell>
          <cell r="CR24">
            <v>106.09</v>
          </cell>
          <cell r="CS24">
            <v>106.9</v>
          </cell>
          <cell r="CT24">
            <v>107.43</v>
          </cell>
          <cell r="CU24">
            <v>107.73</v>
          </cell>
          <cell r="CV24">
            <v>107.96</v>
          </cell>
          <cell r="CW24">
            <v>109.23</v>
          </cell>
          <cell r="CX24">
            <v>110.57</v>
          </cell>
          <cell r="CY24">
            <v>111.64</v>
          </cell>
          <cell r="CZ24">
            <v>111.93</v>
          </cell>
          <cell r="DA24">
            <v>112.14</v>
          </cell>
          <cell r="DB24">
            <v>112.39</v>
          </cell>
          <cell r="DC24">
            <v>112.59</v>
          </cell>
          <cell r="DD24">
            <v>112.74</v>
          </cell>
          <cell r="DE24">
            <v>113</v>
          </cell>
          <cell r="DF24">
            <v>113.04</v>
          </cell>
          <cell r="DG24">
            <v>113.04</v>
          </cell>
          <cell r="DH24">
            <v>113.05</v>
          </cell>
          <cell r="DI24">
            <v>113.09</v>
          </cell>
          <cell r="DJ24">
            <v>113.09</v>
          </cell>
          <cell r="DK24">
            <v>114.14</v>
          </cell>
          <cell r="DL24">
            <v>115.47</v>
          </cell>
          <cell r="DM24">
            <v>116.85</v>
          </cell>
          <cell r="DN24">
            <v>117.87</v>
          </cell>
          <cell r="DO24">
            <v>118.33</v>
          </cell>
          <cell r="DP24">
            <v>118.57</v>
          </cell>
          <cell r="DQ24">
            <v>118.77</v>
          </cell>
          <cell r="DR24">
            <v>120.13</v>
          </cell>
          <cell r="DS24">
            <v>121.47</v>
          </cell>
          <cell r="DT24">
            <v>121.95</v>
          </cell>
          <cell r="DU24">
            <v>123.11</v>
          </cell>
          <cell r="DV24">
            <v>123.59</v>
          </cell>
          <cell r="DW24">
            <v>123.81</v>
          </cell>
          <cell r="DX24">
            <v>124.01</v>
          </cell>
          <cell r="DY24">
            <v>124.25</v>
          </cell>
          <cell r="DZ24">
            <v>125.39</v>
          </cell>
          <cell r="EA24">
            <v>126.53</v>
          </cell>
          <cell r="EB24">
            <v>127.49</v>
          </cell>
          <cell r="EC24">
            <v>128.02000000000001</v>
          </cell>
          <cell r="ED24">
            <v>128.29</v>
          </cell>
          <cell r="EE24">
            <v>125.39</v>
          </cell>
          <cell r="EF24">
            <v>126.2444</v>
          </cell>
          <cell r="EG24">
            <v>128.51</v>
          </cell>
          <cell r="EH24">
            <v>125.15</v>
          </cell>
          <cell r="EI24">
            <v>133.19</v>
          </cell>
          <cell r="EJ24">
            <v>133.74</v>
          </cell>
          <cell r="EK24">
            <v>134.03</v>
          </cell>
          <cell r="EL24">
            <v>134.19999999999999</v>
          </cell>
          <cell r="EM24">
            <v>135.46</v>
          </cell>
          <cell r="EN24">
            <v>136.81</v>
          </cell>
          <cell r="EO24">
            <v>137.99</v>
          </cell>
          <cell r="EP24">
            <v>139.13</v>
          </cell>
          <cell r="EQ24">
            <v>139.76</v>
          </cell>
          <cell r="ER24">
            <v>140.02000000000001</v>
          </cell>
          <cell r="ES24">
            <v>140.22</v>
          </cell>
          <cell r="ET24">
            <v>141.34</v>
          </cell>
          <cell r="EU24">
            <v>142.36000000000001</v>
          </cell>
          <cell r="EV24">
            <v>143.5</v>
          </cell>
          <cell r="EW24">
            <v>144.19999999999999</v>
          </cell>
          <cell r="EX24">
            <v>144.44999999999999</v>
          </cell>
          <cell r="EY24">
            <v>144.56</v>
          </cell>
          <cell r="EZ24">
            <v>144.74</v>
          </cell>
          <cell r="FA24">
            <v>145.96</v>
          </cell>
          <cell r="FB24">
            <v>147.19</v>
          </cell>
          <cell r="FC24">
            <v>148.6</v>
          </cell>
          <cell r="FD24">
            <v>149.38</v>
          </cell>
          <cell r="FE24">
            <v>149.69999999999999</v>
          </cell>
          <cell r="FF24">
            <v>149.80000000000001</v>
          </cell>
          <cell r="FG24">
            <v>149.87</v>
          </cell>
          <cell r="FH24">
            <v>151.19</v>
          </cell>
          <cell r="FI24">
            <v>152.47999999999999</v>
          </cell>
          <cell r="FJ24">
            <v>153.66</v>
          </cell>
          <cell r="FK24">
            <v>154.46</v>
          </cell>
          <cell r="FL24">
            <v>154.82</v>
          </cell>
          <cell r="FM24">
            <v>154.84</v>
          </cell>
          <cell r="FN24">
            <v>154.91999999999999</v>
          </cell>
          <cell r="FO24">
            <v>156.06</v>
          </cell>
          <cell r="FP24">
            <v>157.26</v>
          </cell>
          <cell r="FQ24">
            <v>158.25</v>
          </cell>
          <cell r="FR24">
            <v>158.94</v>
          </cell>
          <cell r="FS24">
            <v>159.55000000000001</v>
          </cell>
          <cell r="FT24">
            <v>159.79</v>
          </cell>
          <cell r="FU24">
            <v>160.03</v>
          </cell>
          <cell r="FV24">
            <v>161.16</v>
          </cell>
          <cell r="FW24">
            <v>162.29</v>
          </cell>
          <cell r="FX24">
            <v>163.25</v>
          </cell>
          <cell r="FY24">
            <v>163.57</v>
          </cell>
          <cell r="FZ24">
            <v>163.85</v>
          </cell>
          <cell r="GA24">
            <v>164.07</v>
          </cell>
          <cell r="GB24">
            <v>164.29</v>
          </cell>
          <cell r="GC24">
            <v>165.37</v>
          </cell>
          <cell r="GD24">
            <v>166.55</v>
          </cell>
          <cell r="GE24">
            <v>167.64</v>
          </cell>
          <cell r="GF24">
            <v>168.5</v>
          </cell>
          <cell r="GG24">
            <v>169.1</v>
          </cell>
          <cell r="GH24">
            <v>169.38</v>
          </cell>
          <cell r="GI24">
            <v>169.55</v>
          </cell>
          <cell r="GJ24">
            <v>170.4</v>
          </cell>
          <cell r="GK24">
            <v>171.18</v>
          </cell>
          <cell r="GL24">
            <v>171.88</v>
          </cell>
          <cell r="GM24">
            <v>172.61</v>
          </cell>
          <cell r="GN24">
            <v>172.93</v>
          </cell>
          <cell r="GO24">
            <v>173.17</v>
          </cell>
          <cell r="GP24">
            <v>173.39</v>
          </cell>
          <cell r="GQ24">
            <v>174.35</v>
          </cell>
          <cell r="GR24">
            <v>175.47</v>
          </cell>
          <cell r="GS24">
            <v>176.59</v>
          </cell>
          <cell r="GT24">
            <v>177.29</v>
          </cell>
          <cell r="GU24">
            <v>177.66</v>
          </cell>
          <cell r="GV24">
            <v>177.75</v>
          </cell>
          <cell r="GW24">
            <v>177.84</v>
          </cell>
          <cell r="GX24">
            <v>178.89</v>
          </cell>
          <cell r="GY24">
            <v>180.23</v>
          </cell>
          <cell r="GZ24">
            <v>181.28</v>
          </cell>
          <cell r="HA24">
            <v>181.79</v>
          </cell>
          <cell r="HB24">
            <v>182.05</v>
          </cell>
          <cell r="HC24">
            <v>182.27</v>
          </cell>
          <cell r="HD24">
            <v>182.47</v>
          </cell>
          <cell r="HE24">
            <v>183.4</v>
          </cell>
          <cell r="HF24">
            <v>184.42</v>
          </cell>
          <cell r="HG24">
            <v>185.43</v>
          </cell>
          <cell r="HH24">
            <v>186.14</v>
          </cell>
          <cell r="HI24">
            <v>186.31</v>
          </cell>
          <cell r="HJ24">
            <v>186.39</v>
          </cell>
          <cell r="HK24">
            <v>186.46</v>
          </cell>
          <cell r="HL24">
            <v>187.35</v>
          </cell>
          <cell r="HM24">
            <v>188.31</v>
          </cell>
          <cell r="HN24">
            <v>188.94</v>
          </cell>
          <cell r="HO24">
            <v>189.42</v>
          </cell>
          <cell r="HP24">
            <v>189.56</v>
          </cell>
          <cell r="HQ24">
            <v>189.63</v>
          </cell>
          <cell r="HR24">
            <v>189.78</v>
          </cell>
          <cell r="HS24">
            <v>190.77</v>
          </cell>
          <cell r="HT24">
            <v>191.82</v>
          </cell>
          <cell r="HU24">
            <v>192.94</v>
          </cell>
          <cell r="HV24">
            <v>193.89</v>
          </cell>
          <cell r="HW24">
            <v>194.52</v>
          </cell>
          <cell r="HX24">
            <v>194.97</v>
          </cell>
          <cell r="HY24">
            <v>195.23</v>
          </cell>
          <cell r="HZ24">
            <v>196.36</v>
          </cell>
          <cell r="IA24">
            <v>197.48</v>
          </cell>
          <cell r="IB24">
            <v>197.69</v>
          </cell>
          <cell r="IC24">
            <v>198.84</v>
          </cell>
          <cell r="ID24">
            <v>199.73</v>
          </cell>
          <cell r="IE24">
            <v>199.97</v>
          </cell>
          <cell r="IF24">
            <v>200.17</v>
          </cell>
          <cell r="IG24">
            <v>201.01</v>
          </cell>
          <cell r="IH24">
            <v>201.93</v>
          </cell>
          <cell r="II24">
            <v>202.89</v>
          </cell>
          <cell r="IJ24">
            <v>203.64</v>
          </cell>
          <cell r="IK24">
            <v>204.12</v>
          </cell>
          <cell r="IL24">
            <v>204.35</v>
          </cell>
          <cell r="IM24">
            <v>204.56</v>
          </cell>
          <cell r="IN24">
            <v>205</v>
          </cell>
          <cell r="IO24">
            <v>206.22</v>
          </cell>
          <cell r="IP24">
            <v>206.55</v>
          </cell>
          <cell r="IQ24">
            <v>207.21</v>
          </cell>
          <cell r="IR24">
            <v>208</v>
          </cell>
          <cell r="IS24">
            <v>208.37</v>
          </cell>
          <cell r="IT24">
            <v>208.62</v>
          </cell>
          <cell r="IU24">
            <v>209.55</v>
          </cell>
          <cell r="IV24">
            <v>210.44</v>
          </cell>
          <cell r="IW24">
            <v>211.42</v>
          </cell>
          <cell r="IX24">
            <v>212.44</v>
          </cell>
          <cell r="IY24">
            <v>213.04</v>
          </cell>
          <cell r="IZ24">
            <v>213.31</v>
          </cell>
          <cell r="JA24">
            <v>213.4</v>
          </cell>
          <cell r="JB24">
            <v>213.4</v>
          </cell>
          <cell r="JC24">
            <v>214.37</v>
          </cell>
          <cell r="JD24">
            <v>215.27</v>
          </cell>
          <cell r="JE24">
            <v>216.22</v>
          </cell>
          <cell r="JF24">
            <v>216.86</v>
          </cell>
          <cell r="JG24">
            <v>217.21</v>
          </cell>
          <cell r="JH24">
            <v>217.44</v>
          </cell>
          <cell r="JI24">
            <v>218.45</v>
          </cell>
          <cell r="JJ24">
            <v>219.54</v>
          </cell>
          <cell r="JK24">
            <v>220.63</v>
          </cell>
          <cell r="JL24">
            <v>221.48</v>
          </cell>
          <cell r="JM24">
            <v>221.81</v>
          </cell>
          <cell r="JN24">
            <v>222.16</v>
          </cell>
          <cell r="JO24">
            <v>222.27</v>
          </cell>
          <cell r="JP24">
            <v>223.29</v>
          </cell>
          <cell r="JQ24">
            <v>224.48</v>
          </cell>
          <cell r="JR24">
            <v>225.6</v>
          </cell>
          <cell r="JS24">
            <v>226.59</v>
          </cell>
          <cell r="JT24">
            <v>227.18</v>
          </cell>
          <cell r="JU24">
            <v>227.42</v>
          </cell>
          <cell r="JV24">
            <v>227.67</v>
          </cell>
          <cell r="JW24">
            <v>228.77</v>
          </cell>
          <cell r="JX24">
            <v>229.73</v>
          </cell>
          <cell r="JY24">
            <v>230.72</v>
          </cell>
          <cell r="JZ24">
            <v>231.14</v>
          </cell>
          <cell r="KA24">
            <v>231.43</v>
          </cell>
          <cell r="KB24">
            <v>231.68</v>
          </cell>
          <cell r="KC24">
            <v>231.89</v>
          </cell>
          <cell r="KD24">
            <v>232.75</v>
          </cell>
          <cell r="KE24">
            <v>233.68</v>
          </cell>
          <cell r="KF24">
            <v>234.39</v>
          </cell>
          <cell r="KG24">
            <v>234.93</v>
          </cell>
          <cell r="KH24">
            <v>235.1</v>
          </cell>
          <cell r="KI24">
            <v>235.13</v>
          </cell>
          <cell r="KJ24">
            <v>235.37</v>
          </cell>
          <cell r="KK24">
            <v>236.35</v>
          </cell>
          <cell r="KL24">
            <v>237.34</v>
          </cell>
          <cell r="KM24">
            <v>238.17</v>
          </cell>
          <cell r="KN24">
            <v>239</v>
          </cell>
          <cell r="KO24">
            <v>239.5</v>
          </cell>
          <cell r="KP24">
            <v>239.58</v>
          </cell>
          <cell r="KQ24">
            <v>239.66</v>
          </cell>
          <cell r="KR24">
            <v>240.71</v>
          </cell>
          <cell r="KS24">
            <v>241.62</v>
          </cell>
          <cell r="KT24">
            <v>242.72</v>
          </cell>
          <cell r="KU24">
            <v>243.57</v>
          </cell>
          <cell r="KV24">
            <v>244.07</v>
          </cell>
          <cell r="KW24">
            <v>244.31</v>
          </cell>
          <cell r="KX24">
            <v>244.39</v>
          </cell>
          <cell r="KY24">
            <v>245.23</v>
          </cell>
          <cell r="KZ24">
            <v>246.31</v>
          </cell>
          <cell r="LA24">
            <v>247.29</v>
          </cell>
          <cell r="LB24">
            <v>248.31</v>
          </cell>
          <cell r="LC24">
            <v>248.94</v>
          </cell>
          <cell r="LD24">
            <v>249.05</v>
          </cell>
          <cell r="LE24">
            <v>249.12</v>
          </cell>
          <cell r="LF24">
            <v>250.19</v>
          </cell>
          <cell r="LG24">
            <v>251.15</v>
          </cell>
          <cell r="LH24">
            <v>251.91</v>
          </cell>
          <cell r="LI24">
            <v>252.22</v>
          </cell>
          <cell r="LJ24">
            <v>252.54</v>
          </cell>
          <cell r="LK24">
            <v>252.78</v>
          </cell>
          <cell r="LL24">
            <v>252.84</v>
          </cell>
          <cell r="LM24">
            <v>253.63</v>
          </cell>
          <cell r="LN24">
            <v>254.65</v>
          </cell>
          <cell r="LO24">
            <v>254.65</v>
          </cell>
          <cell r="LP24">
            <v>256.56</v>
          </cell>
          <cell r="LQ24">
            <v>257.3</v>
          </cell>
          <cell r="LR24">
            <v>257.52</v>
          </cell>
          <cell r="LS24">
            <v>257.60000000000002</v>
          </cell>
          <cell r="LT24">
            <v>258.64999999999998</v>
          </cell>
          <cell r="LU24">
            <v>259.62</v>
          </cell>
          <cell r="LV24">
            <v>260.52999999999997</v>
          </cell>
          <cell r="LW24">
            <v>261.37</v>
          </cell>
          <cell r="LX24">
            <v>261.89999999999998</v>
          </cell>
          <cell r="LY24">
            <v>262.25</v>
          </cell>
          <cell r="LZ24">
            <v>262.35000000000002</v>
          </cell>
          <cell r="MA24">
            <v>263.44</v>
          </cell>
          <cell r="MB24">
            <v>0</v>
          </cell>
          <cell r="MC24">
            <v>0</v>
          </cell>
          <cell r="MD24">
            <v>0</v>
          </cell>
          <cell r="ME24">
            <v>0</v>
          </cell>
          <cell r="MF24">
            <v>0</v>
          </cell>
          <cell r="MG24">
            <v>0</v>
          </cell>
          <cell r="MH24">
            <v>0</v>
          </cell>
        </row>
        <row r="25">
          <cell r="A25" t="str">
            <v>Filtromats</v>
          </cell>
          <cell r="B25">
            <v>5.85</v>
          </cell>
          <cell r="C25">
            <v>5.86</v>
          </cell>
          <cell r="D25">
            <v>5.89</v>
          </cell>
          <cell r="E25">
            <v>6.04</v>
          </cell>
          <cell r="F25">
            <v>6.14</v>
          </cell>
          <cell r="G25">
            <v>6.23</v>
          </cell>
          <cell r="H25">
            <v>6.26</v>
          </cell>
          <cell r="I25">
            <v>6.28</v>
          </cell>
          <cell r="J25">
            <v>6.51</v>
          </cell>
          <cell r="K25">
            <v>6.75</v>
          </cell>
          <cell r="L25">
            <v>6.99</v>
          </cell>
          <cell r="M25">
            <v>7.17</v>
          </cell>
          <cell r="N25">
            <v>7.31</v>
          </cell>
          <cell r="O25">
            <v>7.38</v>
          </cell>
          <cell r="P25">
            <v>7.42</v>
          </cell>
          <cell r="Q25">
            <v>7.61</v>
          </cell>
          <cell r="R25">
            <v>7.84</v>
          </cell>
          <cell r="S25">
            <v>8.07</v>
          </cell>
          <cell r="T25">
            <v>8.27</v>
          </cell>
          <cell r="U25">
            <v>8.39</v>
          </cell>
          <cell r="V25">
            <v>8.42</v>
          </cell>
          <cell r="W25">
            <v>8.43</v>
          </cell>
          <cell r="X25">
            <v>8.6300000000000008</v>
          </cell>
          <cell r="Y25">
            <v>8.85</v>
          </cell>
          <cell r="Z25">
            <v>9.08</v>
          </cell>
          <cell r="AA25">
            <v>9.25</v>
          </cell>
          <cell r="AB25">
            <v>9.3699999999999992</v>
          </cell>
          <cell r="AC25">
            <v>9.4</v>
          </cell>
          <cell r="AD25">
            <v>9.44</v>
          </cell>
          <cell r="AE25">
            <v>9.6300000000000008</v>
          </cell>
          <cell r="AF25">
            <v>9.85</v>
          </cell>
          <cell r="AG25">
            <v>10.08</v>
          </cell>
          <cell r="AH25">
            <v>10.25</v>
          </cell>
          <cell r="AI25">
            <v>10.31</v>
          </cell>
          <cell r="AJ25">
            <v>10.33</v>
          </cell>
          <cell r="AK25">
            <v>10.34</v>
          </cell>
          <cell r="AL25">
            <v>10.36</v>
          </cell>
          <cell r="AM25">
            <v>10.56</v>
          </cell>
          <cell r="AN25">
            <v>10.76</v>
          </cell>
          <cell r="AO25">
            <v>10.9</v>
          </cell>
          <cell r="AP25">
            <v>11.04</v>
          </cell>
          <cell r="AQ25">
            <v>11.07</v>
          </cell>
          <cell r="AR25">
            <v>11.12</v>
          </cell>
          <cell r="AS25">
            <v>11.35</v>
          </cell>
          <cell r="AT25">
            <v>11.57</v>
          </cell>
          <cell r="AU25">
            <v>11.79</v>
          </cell>
          <cell r="AV25">
            <v>11.95</v>
          </cell>
          <cell r="AW25">
            <v>12.03</v>
          </cell>
          <cell r="AX25">
            <v>12.08</v>
          </cell>
          <cell r="AY25">
            <v>12.13</v>
          </cell>
          <cell r="AZ25">
            <v>12.33</v>
          </cell>
          <cell r="BA25">
            <v>12.52</v>
          </cell>
          <cell r="BB25">
            <v>12.37</v>
          </cell>
          <cell r="BC25">
            <v>12.86</v>
          </cell>
          <cell r="BD25">
            <v>12.95</v>
          </cell>
          <cell r="BE25">
            <v>13.02</v>
          </cell>
          <cell r="BF25">
            <v>13.07</v>
          </cell>
          <cell r="BG25">
            <v>13.23</v>
          </cell>
          <cell r="BH25">
            <v>13.42</v>
          </cell>
          <cell r="BI25">
            <v>13.58</v>
          </cell>
          <cell r="BJ25">
            <v>13.73</v>
          </cell>
          <cell r="BK25">
            <v>13.8</v>
          </cell>
          <cell r="BL25">
            <v>13.84</v>
          </cell>
          <cell r="BM25">
            <v>13.89</v>
          </cell>
          <cell r="BN25">
            <v>14.01</v>
          </cell>
          <cell r="BO25">
            <v>14.17</v>
          </cell>
          <cell r="BP25">
            <v>14.36</v>
          </cell>
          <cell r="BQ25">
            <v>14.52</v>
          </cell>
          <cell r="BR25">
            <v>14.62</v>
          </cell>
          <cell r="BS25">
            <v>14.66</v>
          </cell>
          <cell r="BT25">
            <v>14.71</v>
          </cell>
          <cell r="BU25">
            <v>14.89</v>
          </cell>
          <cell r="BV25">
            <v>15.06</v>
          </cell>
          <cell r="BW25">
            <v>15.27</v>
          </cell>
          <cell r="BX25">
            <v>15.45</v>
          </cell>
          <cell r="BY25">
            <v>15.51</v>
          </cell>
          <cell r="BZ25">
            <v>15.56</v>
          </cell>
          <cell r="CA25">
            <v>15.58</v>
          </cell>
          <cell r="CB25">
            <v>15.6</v>
          </cell>
          <cell r="CC25">
            <v>15.81</v>
          </cell>
          <cell r="CD25">
            <v>15.97</v>
          </cell>
          <cell r="CE25">
            <v>16.059999999999999</v>
          </cell>
          <cell r="CF25">
            <v>16.12</v>
          </cell>
          <cell r="CG25">
            <v>16.16</v>
          </cell>
          <cell r="CH25">
            <v>16.21</v>
          </cell>
          <cell r="CI25">
            <v>16.36</v>
          </cell>
          <cell r="CJ25">
            <v>16.55</v>
          </cell>
          <cell r="CK25">
            <v>16.760000000000002</v>
          </cell>
          <cell r="CL25">
            <v>16.93</v>
          </cell>
          <cell r="CM25">
            <v>17.02</v>
          </cell>
          <cell r="CN25">
            <v>17.04</v>
          </cell>
          <cell r="CO25">
            <v>17.07</v>
          </cell>
          <cell r="CP25">
            <v>17.260000000000002</v>
          </cell>
          <cell r="CQ25">
            <v>17.48</v>
          </cell>
          <cell r="CR25">
            <v>17.670000000000002</v>
          </cell>
          <cell r="CS25">
            <v>17.850000000000001</v>
          </cell>
          <cell r="CT25">
            <v>18.010000000000002</v>
          </cell>
          <cell r="CU25">
            <v>18.079999999999998</v>
          </cell>
          <cell r="CV25">
            <v>18.100000000000001</v>
          </cell>
          <cell r="CW25">
            <v>18.28</v>
          </cell>
          <cell r="CX25">
            <v>18.5</v>
          </cell>
          <cell r="CY25">
            <v>18.71</v>
          </cell>
          <cell r="CZ25">
            <v>18.93</v>
          </cell>
          <cell r="DA25">
            <v>19.11</v>
          </cell>
          <cell r="DB25">
            <v>19.18</v>
          </cell>
          <cell r="DC25">
            <v>19.190000000000001</v>
          </cell>
          <cell r="DD25">
            <v>19.2</v>
          </cell>
          <cell r="DE25">
            <v>19.22</v>
          </cell>
          <cell r="DF25">
            <v>19.23</v>
          </cell>
          <cell r="DG25">
            <v>19.23</v>
          </cell>
          <cell r="DH25">
            <v>19.23</v>
          </cell>
          <cell r="DI25">
            <v>19.25</v>
          </cell>
          <cell r="DJ25">
            <v>19.25</v>
          </cell>
          <cell r="DK25">
            <v>19.440000000000001</v>
          </cell>
          <cell r="DL25">
            <v>19.670000000000002</v>
          </cell>
          <cell r="DM25">
            <v>19.91</v>
          </cell>
          <cell r="DN25">
            <v>20.14</v>
          </cell>
          <cell r="DO25">
            <v>20.27</v>
          </cell>
          <cell r="DP25">
            <v>20.3</v>
          </cell>
          <cell r="DQ25">
            <v>20.32</v>
          </cell>
          <cell r="DR25">
            <v>20.57</v>
          </cell>
          <cell r="DS25">
            <v>20.79</v>
          </cell>
          <cell r="DT25">
            <v>20.83</v>
          </cell>
          <cell r="DU25">
            <v>21.03</v>
          </cell>
          <cell r="DV25">
            <v>21.16</v>
          </cell>
          <cell r="DW25">
            <v>21.2</v>
          </cell>
          <cell r="DX25">
            <v>21.2</v>
          </cell>
          <cell r="DY25">
            <v>21.22</v>
          </cell>
          <cell r="DZ25">
            <v>21.43</v>
          </cell>
          <cell r="EA25">
            <v>21.63</v>
          </cell>
          <cell r="EB25">
            <v>21.82</v>
          </cell>
          <cell r="EC25">
            <v>21.97</v>
          </cell>
          <cell r="ED25">
            <v>22.02</v>
          </cell>
          <cell r="EE25">
            <v>21.419999999999998</v>
          </cell>
          <cell r="EF25">
            <v>21.589099999999998</v>
          </cell>
          <cell r="EG25">
            <v>22.03</v>
          </cell>
          <cell r="EH25">
            <v>21.41</v>
          </cell>
          <cell r="EI25">
            <v>22.75</v>
          </cell>
          <cell r="EJ25">
            <v>22.88</v>
          </cell>
          <cell r="EK25">
            <v>22.94</v>
          </cell>
          <cell r="EL25">
            <v>22.96</v>
          </cell>
          <cell r="EM25">
            <v>23.12</v>
          </cell>
          <cell r="EN25">
            <v>23.31</v>
          </cell>
          <cell r="EO25">
            <v>23.51</v>
          </cell>
          <cell r="EP25">
            <v>23.71</v>
          </cell>
          <cell r="EQ25">
            <v>23.84</v>
          </cell>
          <cell r="ER25">
            <v>23.88</v>
          </cell>
          <cell r="ES25">
            <v>23.9</v>
          </cell>
          <cell r="ET25">
            <v>24.09</v>
          </cell>
          <cell r="EU25">
            <v>24.28</v>
          </cell>
          <cell r="EV25">
            <v>24.49</v>
          </cell>
          <cell r="EW25">
            <v>24.66</v>
          </cell>
          <cell r="EX25">
            <v>24.78</v>
          </cell>
          <cell r="EY25">
            <v>24.85</v>
          </cell>
          <cell r="EZ25">
            <v>24.89</v>
          </cell>
          <cell r="FA25">
            <v>25.07</v>
          </cell>
          <cell r="FB25">
            <v>25.25</v>
          </cell>
          <cell r="FC25">
            <v>25.41</v>
          </cell>
          <cell r="FD25">
            <v>25.54</v>
          </cell>
          <cell r="FE25">
            <v>25.63</v>
          </cell>
          <cell r="FF25">
            <v>25.66</v>
          </cell>
          <cell r="FG25">
            <v>25.68</v>
          </cell>
          <cell r="FH25">
            <v>25.85</v>
          </cell>
          <cell r="FI25">
            <v>26.03</v>
          </cell>
          <cell r="FJ25">
            <v>26.2</v>
          </cell>
          <cell r="FK25">
            <v>26.4</v>
          </cell>
          <cell r="FL25">
            <v>26.5</v>
          </cell>
          <cell r="FM25">
            <v>26.52</v>
          </cell>
          <cell r="FN25">
            <v>26.57</v>
          </cell>
          <cell r="FO25">
            <v>26.71</v>
          </cell>
          <cell r="FP25">
            <v>26.89</v>
          </cell>
          <cell r="FQ25">
            <v>27.07</v>
          </cell>
          <cell r="FR25">
            <v>27.24</v>
          </cell>
          <cell r="FS25">
            <v>27.37</v>
          </cell>
          <cell r="FT25">
            <v>27.39</v>
          </cell>
          <cell r="FU25">
            <v>27.4</v>
          </cell>
          <cell r="FV25">
            <v>27.56</v>
          </cell>
          <cell r="FW25">
            <v>27.74</v>
          </cell>
          <cell r="FX25">
            <v>27.95</v>
          </cell>
          <cell r="FY25">
            <v>28.11</v>
          </cell>
          <cell r="FZ25">
            <v>28.22</v>
          </cell>
          <cell r="GA25">
            <v>28.25</v>
          </cell>
          <cell r="GB25">
            <v>28.26</v>
          </cell>
          <cell r="GC25">
            <v>28.45</v>
          </cell>
          <cell r="GD25">
            <v>28.63</v>
          </cell>
          <cell r="GE25">
            <v>28.82</v>
          </cell>
          <cell r="GF25">
            <v>28.98</v>
          </cell>
          <cell r="GG25">
            <v>29.07</v>
          </cell>
          <cell r="GH25">
            <v>29.09</v>
          </cell>
          <cell r="GI25">
            <v>29.1</v>
          </cell>
          <cell r="GJ25">
            <v>29.28</v>
          </cell>
          <cell r="GK25">
            <v>29.47</v>
          </cell>
          <cell r="GL25">
            <v>29.65</v>
          </cell>
          <cell r="GM25">
            <v>29.82</v>
          </cell>
          <cell r="GN25">
            <v>29.88</v>
          </cell>
          <cell r="GO25">
            <v>29.9</v>
          </cell>
          <cell r="GP25">
            <v>29.92</v>
          </cell>
          <cell r="GQ25">
            <v>30.05</v>
          </cell>
          <cell r="GR25">
            <v>30.25</v>
          </cell>
          <cell r="GS25">
            <v>30.44</v>
          </cell>
          <cell r="GT25">
            <v>30.58</v>
          </cell>
          <cell r="GU25">
            <v>30.66</v>
          </cell>
          <cell r="GV25">
            <v>30.68</v>
          </cell>
          <cell r="GW25">
            <v>30.7</v>
          </cell>
          <cell r="GX25">
            <v>30.86</v>
          </cell>
          <cell r="GY25">
            <v>31.04</v>
          </cell>
          <cell r="GZ25">
            <v>31.23</v>
          </cell>
          <cell r="HA25">
            <v>31.42</v>
          </cell>
          <cell r="HB25">
            <v>31.59</v>
          </cell>
          <cell r="HC25">
            <v>31.63</v>
          </cell>
          <cell r="HD25">
            <v>31.65</v>
          </cell>
          <cell r="HE25">
            <v>31.8</v>
          </cell>
          <cell r="HF25">
            <v>31.98</v>
          </cell>
          <cell r="HG25">
            <v>32.15</v>
          </cell>
          <cell r="HH25">
            <v>32.270000000000003</v>
          </cell>
          <cell r="HI25">
            <v>32.33</v>
          </cell>
          <cell r="HJ25">
            <v>32.36</v>
          </cell>
          <cell r="HK25">
            <v>32.380000000000003</v>
          </cell>
          <cell r="HL25">
            <v>32.5</v>
          </cell>
          <cell r="HM25">
            <v>32.71</v>
          </cell>
          <cell r="HN25">
            <v>32.86</v>
          </cell>
          <cell r="HO25">
            <v>32.96</v>
          </cell>
          <cell r="HP25">
            <v>33.07</v>
          </cell>
          <cell r="HQ25">
            <v>33.1</v>
          </cell>
          <cell r="HR25">
            <v>33.119999999999997</v>
          </cell>
          <cell r="HS25">
            <v>33.26</v>
          </cell>
          <cell r="HT25">
            <v>33.46</v>
          </cell>
          <cell r="HU25">
            <v>33.67</v>
          </cell>
          <cell r="HV25">
            <v>33.85</v>
          </cell>
          <cell r="HW25">
            <v>33.97</v>
          </cell>
          <cell r="HX25">
            <v>34.01</v>
          </cell>
          <cell r="HY25">
            <v>34.04</v>
          </cell>
          <cell r="HZ25">
            <v>34.229999999999997</v>
          </cell>
          <cell r="IA25">
            <v>34.42</v>
          </cell>
          <cell r="IB25">
            <v>34.450000000000003</v>
          </cell>
          <cell r="IC25">
            <v>34.67</v>
          </cell>
          <cell r="ID25">
            <v>34.86</v>
          </cell>
          <cell r="IE25">
            <v>34.97</v>
          </cell>
          <cell r="IF25">
            <v>34.99</v>
          </cell>
          <cell r="IG25">
            <v>35.17</v>
          </cell>
          <cell r="IH25">
            <v>35.340000000000003</v>
          </cell>
          <cell r="II25">
            <v>35.53</v>
          </cell>
          <cell r="IJ25">
            <v>35.72</v>
          </cell>
          <cell r="IK25">
            <v>35.89</v>
          </cell>
          <cell r="IL25">
            <v>36</v>
          </cell>
          <cell r="IM25">
            <v>36.049999999999997</v>
          </cell>
          <cell r="IN25">
            <v>36.229999999999997</v>
          </cell>
          <cell r="IO25">
            <v>36.4</v>
          </cell>
          <cell r="IP25">
            <v>36.450000000000003</v>
          </cell>
          <cell r="IQ25">
            <v>36.590000000000003</v>
          </cell>
          <cell r="IR25">
            <v>36.78</v>
          </cell>
          <cell r="IS25">
            <v>36.9</v>
          </cell>
          <cell r="IT25">
            <v>36.93</v>
          </cell>
          <cell r="IU25">
            <v>37.090000000000003</v>
          </cell>
          <cell r="IV25">
            <v>37.22</v>
          </cell>
          <cell r="IW25">
            <v>37.380000000000003</v>
          </cell>
          <cell r="IX25">
            <v>37.549999999999997</v>
          </cell>
          <cell r="IY25">
            <v>37.67</v>
          </cell>
          <cell r="IZ25">
            <v>37.729999999999997</v>
          </cell>
          <cell r="JA25">
            <v>37.76</v>
          </cell>
          <cell r="JB25">
            <v>37.76</v>
          </cell>
          <cell r="JC25">
            <v>37.96</v>
          </cell>
          <cell r="JD25">
            <v>38.130000000000003</v>
          </cell>
          <cell r="JE25">
            <v>38.299999999999997</v>
          </cell>
          <cell r="JF25">
            <v>38.409999999999997</v>
          </cell>
          <cell r="JG25">
            <v>38.46</v>
          </cell>
          <cell r="JH25">
            <v>38.479999999999997</v>
          </cell>
          <cell r="JI25">
            <v>38.61</v>
          </cell>
          <cell r="JJ25">
            <v>38.76</v>
          </cell>
          <cell r="JK25">
            <v>38.89</v>
          </cell>
          <cell r="JL25">
            <v>39.01</v>
          </cell>
          <cell r="JM25">
            <v>39.119999999999997</v>
          </cell>
          <cell r="JN25">
            <v>39.18</v>
          </cell>
          <cell r="JO25">
            <v>39.18</v>
          </cell>
          <cell r="JP25">
            <v>39.26</v>
          </cell>
          <cell r="JQ25">
            <v>39.42</v>
          </cell>
          <cell r="JR25">
            <v>39.57</v>
          </cell>
          <cell r="JS25">
            <v>39.700000000000003</v>
          </cell>
          <cell r="JT25">
            <v>39.79</v>
          </cell>
          <cell r="JU25">
            <v>39.840000000000003</v>
          </cell>
          <cell r="JV25">
            <v>39.880000000000003</v>
          </cell>
          <cell r="JW25">
            <v>40.03</v>
          </cell>
          <cell r="JX25">
            <v>40.18</v>
          </cell>
          <cell r="JY25">
            <v>40.33</v>
          </cell>
          <cell r="JZ25">
            <v>40.47</v>
          </cell>
          <cell r="KA25">
            <v>40.549999999999997</v>
          </cell>
          <cell r="KB25">
            <v>40.57</v>
          </cell>
          <cell r="KC25">
            <v>40.58</v>
          </cell>
          <cell r="KD25">
            <v>40.700000000000003</v>
          </cell>
          <cell r="KE25">
            <v>40.85</v>
          </cell>
          <cell r="KF25">
            <v>41.02</v>
          </cell>
          <cell r="KG25">
            <v>41.19</v>
          </cell>
          <cell r="KH25">
            <v>41.22</v>
          </cell>
          <cell r="KI25">
            <v>41.32</v>
          </cell>
          <cell r="KJ25">
            <v>41.33</v>
          </cell>
          <cell r="KK25">
            <v>41.43</v>
          </cell>
          <cell r="KL25">
            <v>41.54</v>
          </cell>
          <cell r="KM25">
            <v>41.64</v>
          </cell>
          <cell r="KN25">
            <v>41.74</v>
          </cell>
          <cell r="KO25">
            <v>41.82</v>
          </cell>
          <cell r="KP25">
            <v>41.87</v>
          </cell>
          <cell r="KQ25">
            <v>41.89</v>
          </cell>
          <cell r="KR25">
            <v>42.02</v>
          </cell>
          <cell r="KS25">
            <v>42.16</v>
          </cell>
          <cell r="KT25">
            <v>42.26</v>
          </cell>
          <cell r="KU25">
            <v>42.33</v>
          </cell>
          <cell r="KV25">
            <v>42.39</v>
          </cell>
          <cell r="KW25">
            <v>42.43</v>
          </cell>
          <cell r="KX25">
            <v>42.45</v>
          </cell>
          <cell r="KY25">
            <v>42.53</v>
          </cell>
          <cell r="KZ25">
            <v>42.61</v>
          </cell>
          <cell r="LA25">
            <v>42.7</v>
          </cell>
          <cell r="LB25">
            <v>42.78</v>
          </cell>
          <cell r="LC25">
            <v>42.82</v>
          </cell>
          <cell r="LD25">
            <v>42.85</v>
          </cell>
          <cell r="LE25">
            <v>42.88</v>
          </cell>
          <cell r="LF25">
            <v>43</v>
          </cell>
          <cell r="LG25">
            <v>43.11</v>
          </cell>
          <cell r="LH25">
            <v>43.21</v>
          </cell>
          <cell r="LI25">
            <v>43.32</v>
          </cell>
          <cell r="LJ25">
            <v>43.41</v>
          </cell>
          <cell r="LK25">
            <v>43.48</v>
          </cell>
          <cell r="LL25">
            <v>43.51</v>
          </cell>
          <cell r="LM25">
            <v>43.61</v>
          </cell>
          <cell r="LN25">
            <v>43.73</v>
          </cell>
          <cell r="LO25">
            <v>43.85</v>
          </cell>
          <cell r="LP25">
            <v>43.92</v>
          </cell>
          <cell r="LQ25">
            <v>44.01</v>
          </cell>
          <cell r="LR25">
            <v>44.08</v>
          </cell>
          <cell r="LS25">
            <v>44.12</v>
          </cell>
          <cell r="LT25">
            <v>44.23</v>
          </cell>
          <cell r="LU25">
            <v>44.35</v>
          </cell>
          <cell r="LV25">
            <v>44.47</v>
          </cell>
          <cell r="LW25">
            <v>44.59</v>
          </cell>
          <cell r="LX25">
            <v>44.68</v>
          </cell>
          <cell r="LY25">
            <v>44.79</v>
          </cell>
          <cell r="LZ25">
            <v>44.86</v>
          </cell>
          <cell r="MA25">
            <v>44.96</v>
          </cell>
          <cell r="MB25">
            <v>0</v>
          </cell>
          <cell r="MC25">
            <v>0</v>
          </cell>
          <cell r="MD25">
            <v>0</v>
          </cell>
          <cell r="ME25">
            <v>0</v>
          </cell>
          <cell r="MF25">
            <v>0</v>
          </cell>
          <cell r="MG25">
            <v>0</v>
          </cell>
          <cell r="MH25">
            <v>0</v>
          </cell>
        </row>
        <row r="26">
          <cell r="A26">
            <v>0</v>
          </cell>
          <cell r="B26">
            <v>77.169999999999987</v>
          </cell>
          <cell r="C26">
            <v>77.28</v>
          </cell>
          <cell r="D26">
            <v>77.460000000000008</v>
          </cell>
          <cell r="E26">
            <v>80.319999999999993</v>
          </cell>
          <cell r="F26">
            <v>82.7</v>
          </cell>
          <cell r="G26">
            <v>85.010000000000019</v>
          </cell>
          <cell r="H26">
            <v>86.58</v>
          </cell>
          <cell r="I26">
            <v>87.72</v>
          </cell>
          <cell r="J26">
            <v>90.72999999999999</v>
          </cell>
          <cell r="K26">
            <v>93.740000000000009</v>
          </cell>
          <cell r="L26">
            <v>96.93</v>
          </cell>
          <cell r="M26">
            <v>99.460000000000008</v>
          </cell>
          <cell r="N26">
            <v>101.15</v>
          </cell>
          <cell r="O26">
            <v>102.63999999999999</v>
          </cell>
          <cell r="P26">
            <v>103.72</v>
          </cell>
          <cell r="Q26">
            <v>106.66</v>
          </cell>
          <cell r="R26">
            <v>109.84</v>
          </cell>
          <cell r="S26">
            <v>113.10000000000001</v>
          </cell>
          <cell r="T26">
            <v>115.99</v>
          </cell>
          <cell r="U26">
            <v>117.83000000000001</v>
          </cell>
          <cell r="V26">
            <v>118.84</v>
          </cell>
          <cell r="W26">
            <v>119.25999999999999</v>
          </cell>
          <cell r="X26">
            <v>121.4</v>
          </cell>
          <cell r="Y26">
            <v>124.16</v>
          </cell>
          <cell r="Z26">
            <v>126.97999999999999</v>
          </cell>
          <cell r="AA26">
            <v>129.13999999999999</v>
          </cell>
          <cell r="AB26">
            <v>131.06</v>
          </cell>
          <cell r="AC26">
            <v>132.44</v>
          </cell>
          <cell r="AD26">
            <v>133.69</v>
          </cell>
          <cell r="AE26">
            <v>136.76</v>
          </cell>
          <cell r="AF26">
            <v>140.19999999999999</v>
          </cell>
          <cell r="AG26">
            <v>143.30000000000001</v>
          </cell>
          <cell r="AH26">
            <v>146.09</v>
          </cell>
          <cell r="AI26">
            <v>148.11000000000001</v>
          </cell>
          <cell r="AJ26">
            <v>149.84</v>
          </cell>
          <cell r="AK26">
            <v>151.01</v>
          </cell>
          <cell r="AL26">
            <v>151.97</v>
          </cell>
          <cell r="AM26">
            <v>154.81</v>
          </cell>
          <cell r="AN26">
            <v>157.72999999999999</v>
          </cell>
          <cell r="AO26">
            <v>160.78</v>
          </cell>
          <cell r="AP26">
            <v>163.58000000000001</v>
          </cell>
          <cell r="AQ26">
            <v>165.54000000000002</v>
          </cell>
          <cell r="AR26">
            <v>167.04000000000002</v>
          </cell>
          <cell r="AS26">
            <v>170.26</v>
          </cell>
          <cell r="AT26">
            <v>173.68</v>
          </cell>
          <cell r="AU26">
            <v>176.79999999999998</v>
          </cell>
          <cell r="AV26">
            <v>179.93</v>
          </cell>
          <cell r="AW26">
            <v>182.45999999999998</v>
          </cell>
          <cell r="AX26">
            <v>183.68</v>
          </cell>
          <cell r="AY26">
            <v>185.02999999999997</v>
          </cell>
          <cell r="AZ26">
            <v>188.17000000000002</v>
          </cell>
          <cell r="BA26">
            <v>221.11</v>
          </cell>
          <cell r="BB26">
            <v>194.37</v>
          </cell>
          <cell r="BC26">
            <v>197.64000000000001</v>
          </cell>
          <cell r="BD26">
            <v>200.01000000000002</v>
          </cell>
          <cell r="BE26">
            <v>201.56</v>
          </cell>
          <cell r="BF26">
            <v>202.49</v>
          </cell>
          <cell r="BG26">
            <v>205.25</v>
          </cell>
          <cell r="BH26">
            <v>208.18</v>
          </cell>
          <cell r="BI26">
            <v>211.16000000000003</v>
          </cell>
          <cell r="BJ26">
            <v>214.05</v>
          </cell>
          <cell r="BK26">
            <v>216.79</v>
          </cell>
          <cell r="BL26">
            <v>217.98000000000002</v>
          </cell>
          <cell r="BM26">
            <v>219.38</v>
          </cell>
          <cell r="BN26">
            <v>222.26</v>
          </cell>
          <cell r="BO26">
            <v>225.24</v>
          </cell>
          <cell r="BP26">
            <v>228.45999999999998</v>
          </cell>
          <cell r="BQ26">
            <v>231.51</v>
          </cell>
          <cell r="BR26">
            <v>234.01000000000002</v>
          </cell>
          <cell r="BS26">
            <v>235.95999999999998</v>
          </cell>
          <cell r="BT26">
            <v>237.25</v>
          </cell>
          <cell r="BU26">
            <v>240.08</v>
          </cell>
          <cell r="BV26">
            <v>243.43</v>
          </cell>
          <cell r="BW26">
            <v>246.91000000000003</v>
          </cell>
          <cell r="BX26">
            <v>249.38</v>
          </cell>
          <cell r="BY26">
            <v>252.02000000000004</v>
          </cell>
          <cell r="BZ26">
            <v>254.01000000000002</v>
          </cell>
          <cell r="CA26">
            <v>254.97000000000003</v>
          </cell>
          <cell r="CB26">
            <v>255.45999999999998</v>
          </cell>
          <cell r="CC26">
            <v>258.09999999999997</v>
          </cell>
          <cell r="CD26">
            <v>261.37</v>
          </cell>
          <cell r="CE26">
            <v>264.11</v>
          </cell>
          <cell r="CF26">
            <v>266.48</v>
          </cell>
          <cell r="CG26">
            <v>268.19</v>
          </cell>
          <cell r="CH26">
            <v>269.95</v>
          </cell>
          <cell r="CI26">
            <v>272.35000000000002</v>
          </cell>
          <cell r="CJ26">
            <v>275.13</v>
          </cell>
          <cell r="CK26">
            <v>277.76</v>
          </cell>
          <cell r="CL26">
            <v>280.58</v>
          </cell>
          <cell r="CM26">
            <v>282.93</v>
          </cell>
          <cell r="CN26">
            <v>284.36</v>
          </cell>
          <cell r="CO26">
            <v>285.37</v>
          </cell>
          <cell r="CP26">
            <v>288.02</v>
          </cell>
          <cell r="CQ26">
            <v>291.14999999999998</v>
          </cell>
          <cell r="CR26">
            <v>293.92</v>
          </cell>
          <cell r="CS26">
            <v>296.53000000000003</v>
          </cell>
          <cell r="CT26">
            <v>298.69</v>
          </cell>
          <cell r="CU26">
            <v>300.03000000000003</v>
          </cell>
          <cell r="CV26">
            <v>301.02999999999997</v>
          </cell>
          <cell r="CW26">
            <v>304.05</v>
          </cell>
          <cell r="CX26">
            <v>307.20999999999998</v>
          </cell>
          <cell r="CY26">
            <v>310.08999999999997</v>
          </cell>
          <cell r="CZ26">
            <v>311.78000000000003</v>
          </cell>
          <cell r="DA26">
            <v>313.77999999999997</v>
          </cell>
          <cell r="DB26">
            <v>315.7</v>
          </cell>
          <cell r="DC26">
            <v>316.87</v>
          </cell>
          <cell r="DD26">
            <v>317.91999999999996</v>
          </cell>
          <cell r="DE26">
            <v>318.75</v>
          </cell>
          <cell r="DF26">
            <v>318.82</v>
          </cell>
          <cell r="DG26">
            <v>318.82</v>
          </cell>
          <cell r="DH26">
            <v>318.83</v>
          </cell>
          <cell r="DI26">
            <v>318.89</v>
          </cell>
          <cell r="DJ26">
            <v>318.89</v>
          </cell>
          <cell r="DK26">
            <v>321.12</v>
          </cell>
          <cell r="DL26">
            <v>323.77999999999997</v>
          </cell>
          <cell r="DM26">
            <v>327.08</v>
          </cell>
          <cell r="DN26">
            <v>330.2</v>
          </cell>
          <cell r="DO26">
            <v>332.4</v>
          </cell>
          <cell r="DP26">
            <v>334.1</v>
          </cell>
          <cell r="DQ26">
            <v>335.68</v>
          </cell>
          <cell r="DR26">
            <v>339.07</v>
          </cell>
          <cell r="DS26">
            <v>342.6</v>
          </cell>
          <cell r="DT26">
            <v>344.64</v>
          </cell>
          <cell r="DU26">
            <v>347.82</v>
          </cell>
          <cell r="DV26">
            <v>350.23</v>
          </cell>
          <cell r="DW26">
            <v>351.9</v>
          </cell>
          <cell r="DX26">
            <v>353.08000000000004</v>
          </cell>
          <cell r="DY26">
            <v>354.06</v>
          </cell>
          <cell r="DZ26">
            <v>357.3</v>
          </cell>
          <cell r="EA26">
            <v>360.65</v>
          </cell>
          <cell r="EB26">
            <v>363.63</v>
          </cell>
          <cell r="EC26">
            <v>366.35999999999996</v>
          </cell>
          <cell r="ED26">
            <v>368.35</v>
          </cell>
          <cell r="EE26">
            <v>357.41</v>
          </cell>
          <cell r="EF26">
            <v>360.06219999999996</v>
          </cell>
          <cell r="EG26">
            <v>370.11</v>
          </cell>
          <cell r="EH26">
            <v>356.32</v>
          </cell>
          <cell r="EI26">
            <v>382.38</v>
          </cell>
          <cell r="EJ26">
            <v>384.38</v>
          </cell>
          <cell r="EK26">
            <v>385.98999999999995</v>
          </cell>
          <cell r="EL26">
            <v>386.4</v>
          </cell>
          <cell r="EM26">
            <v>389.17999999999995</v>
          </cell>
          <cell r="EN26">
            <v>392.42</v>
          </cell>
          <cell r="EO26">
            <v>395.47</v>
          </cell>
          <cell r="EP26">
            <v>398.59000000000003</v>
          </cell>
          <cell r="EQ26">
            <v>400.84</v>
          </cell>
          <cell r="ER26">
            <v>402.37</v>
          </cell>
          <cell r="ES26">
            <v>403.84</v>
          </cell>
          <cell r="ET26">
            <v>406.62</v>
          </cell>
          <cell r="EU26">
            <v>409.52000000000004</v>
          </cell>
          <cell r="EV26">
            <v>412.40999999999997</v>
          </cell>
          <cell r="EW26">
            <v>415.4</v>
          </cell>
          <cell r="EX26">
            <v>417.74</v>
          </cell>
          <cell r="EY26">
            <v>419.57</v>
          </cell>
          <cell r="EZ26">
            <v>421.46</v>
          </cell>
          <cell r="FA26">
            <v>424.57</v>
          </cell>
          <cell r="FB26">
            <v>355.97</v>
          </cell>
          <cell r="FC26">
            <v>430.96999999999997</v>
          </cell>
          <cell r="FD26">
            <v>433.6</v>
          </cell>
          <cell r="FE26">
            <v>435.77</v>
          </cell>
          <cell r="FF26">
            <v>437.34000000000003</v>
          </cell>
          <cell r="FG26">
            <v>438.95</v>
          </cell>
          <cell r="FH26">
            <v>442.19999999999993</v>
          </cell>
          <cell r="FI26">
            <v>445.72</v>
          </cell>
          <cell r="FJ26" t="e">
            <v>#VALUE!</v>
          </cell>
          <cell r="FK26">
            <v>451.63</v>
          </cell>
          <cell r="FL26">
            <v>453.03</v>
          </cell>
          <cell r="FM26">
            <v>453.80000000000007</v>
          </cell>
          <cell r="FN26">
            <v>954.5</v>
          </cell>
          <cell r="FO26">
            <v>457.32</v>
          </cell>
          <cell r="FP26">
            <v>460.4</v>
          </cell>
          <cell r="FQ26">
            <v>463.4</v>
          </cell>
          <cell r="FR26">
            <v>466.04999999999995</v>
          </cell>
          <cell r="FS26">
            <v>468.75</v>
          </cell>
          <cell r="FT26">
            <v>470.3</v>
          </cell>
          <cell r="FU26">
            <v>471.66</v>
          </cell>
          <cell r="FV26">
            <v>473.9</v>
          </cell>
          <cell r="FW26">
            <v>476.48</v>
          </cell>
          <cell r="FX26">
            <v>478.9</v>
          </cell>
          <cell r="FY26">
            <v>480.77</v>
          </cell>
          <cell r="FZ26">
            <v>482.51</v>
          </cell>
          <cell r="GA26">
            <v>483.76</v>
          </cell>
          <cell r="GB26">
            <v>484.8</v>
          </cell>
          <cell r="GC26">
            <v>486.94</v>
          </cell>
          <cell r="GD26">
            <v>489.24</v>
          </cell>
          <cell r="GE26">
            <v>491.64999999999992</v>
          </cell>
          <cell r="GF26">
            <v>493.86999999999995</v>
          </cell>
          <cell r="GG26">
            <v>495.37</v>
          </cell>
          <cell r="GH26">
            <v>496.07000000000005</v>
          </cell>
          <cell r="GI26">
            <v>496.38</v>
          </cell>
          <cell r="GJ26">
            <v>498.04</v>
          </cell>
          <cell r="GK26">
            <v>499.6</v>
          </cell>
          <cell r="GL26">
            <v>500.97999999999996</v>
          </cell>
          <cell r="GM26">
            <v>502.6</v>
          </cell>
          <cell r="GN26">
            <v>503.54999999999995</v>
          </cell>
          <cell r="GO26">
            <v>503.96999999999997</v>
          </cell>
          <cell r="GP26">
            <v>504.37</v>
          </cell>
          <cell r="GQ26">
            <v>506.88</v>
          </cell>
          <cell r="GR26">
            <v>510.02</v>
          </cell>
          <cell r="GS26">
            <v>513.23</v>
          </cell>
          <cell r="GT26">
            <v>515.6099999999999</v>
          </cell>
          <cell r="GU26">
            <v>517.16</v>
          </cell>
          <cell r="GV26">
            <v>518.26</v>
          </cell>
          <cell r="GW26">
            <v>518.62</v>
          </cell>
          <cell r="GX26">
            <v>520.32000000000005</v>
          </cell>
          <cell r="GY26">
            <v>522.74</v>
          </cell>
          <cell r="GZ26">
            <v>525.63000000000011</v>
          </cell>
          <cell r="HA26">
            <v>528</v>
          </cell>
          <cell r="HB26">
            <v>530.13000000000011</v>
          </cell>
          <cell r="HC26">
            <v>531.44000000000005</v>
          </cell>
          <cell r="HD26">
            <v>532.02</v>
          </cell>
          <cell r="HE26">
            <v>534.45000000000005</v>
          </cell>
          <cell r="HF26">
            <v>537.11999999999989</v>
          </cell>
          <cell r="HG26">
            <v>539.63</v>
          </cell>
          <cell r="HH26">
            <v>542.11999999999989</v>
          </cell>
          <cell r="HI26">
            <v>543.58000000000004</v>
          </cell>
          <cell r="HJ26">
            <v>544.6</v>
          </cell>
          <cell r="HK26">
            <v>545.67000000000007</v>
          </cell>
          <cell r="HL26">
            <v>548.11</v>
          </cell>
          <cell r="HM26">
            <v>550.58000000000004</v>
          </cell>
          <cell r="HN26">
            <v>552.71</v>
          </cell>
          <cell r="HO26">
            <v>554.77</v>
          </cell>
          <cell r="HP26">
            <v>556.04</v>
          </cell>
          <cell r="HQ26">
            <v>556.77</v>
          </cell>
          <cell r="HR26">
            <v>557.63</v>
          </cell>
          <cell r="HS26">
            <v>560.02</v>
          </cell>
          <cell r="HT26">
            <v>562.61</v>
          </cell>
          <cell r="HU26">
            <v>565.55999999999995</v>
          </cell>
          <cell r="HV26">
            <v>568.01</v>
          </cell>
          <cell r="HW26">
            <v>570.02</v>
          </cell>
          <cell r="HX26">
            <v>571.79999999999995</v>
          </cell>
          <cell r="HY26">
            <v>572.99</v>
          </cell>
          <cell r="HZ26">
            <v>575.66999999999996</v>
          </cell>
          <cell r="IA26">
            <v>578.55999999999995</v>
          </cell>
          <cell r="IB26">
            <v>579.04999999999995</v>
          </cell>
          <cell r="IC26">
            <v>581.91000000000008</v>
          </cell>
          <cell r="ID26">
            <v>583.95000000000005</v>
          </cell>
          <cell r="IE26">
            <v>585.26</v>
          </cell>
          <cell r="IF26">
            <v>586.29</v>
          </cell>
          <cell r="IG26">
            <v>588.49</v>
          </cell>
          <cell r="IH26">
            <v>590.98</v>
          </cell>
          <cell r="II26">
            <v>593.4</v>
          </cell>
          <cell r="IJ26">
            <v>595.14</v>
          </cell>
          <cell r="IK26">
            <v>596.14</v>
          </cell>
          <cell r="IL26">
            <v>596.92000000000007</v>
          </cell>
          <cell r="IM26">
            <v>597.47</v>
          </cell>
          <cell r="IN26">
            <v>599.81999999999994</v>
          </cell>
          <cell r="IO26">
            <v>603.09</v>
          </cell>
          <cell r="IP26">
            <v>604.1</v>
          </cell>
          <cell r="IQ26">
            <v>606.26</v>
          </cell>
          <cell r="IR26">
            <v>608.54999999999995</v>
          </cell>
          <cell r="IS26">
            <v>609.30000000000007</v>
          </cell>
          <cell r="IT26">
            <v>609.75</v>
          </cell>
          <cell r="IU26">
            <v>612.01</v>
          </cell>
          <cell r="IV26">
            <v>614.45000000000005</v>
          </cell>
          <cell r="IW26">
            <v>616.76</v>
          </cell>
          <cell r="IX26">
            <v>619.18000000000006</v>
          </cell>
          <cell r="IY26">
            <v>620.56999999999994</v>
          </cell>
          <cell r="IZ26">
            <v>621.21999999999991</v>
          </cell>
          <cell r="JA26">
            <v>521.4</v>
          </cell>
          <cell r="JB26">
            <v>521.4</v>
          </cell>
          <cell r="JC26">
            <v>523.91999999999996</v>
          </cell>
          <cell r="JD26">
            <v>526.48</v>
          </cell>
          <cell r="JE26">
            <v>529</v>
          </cell>
          <cell r="JF26">
            <v>530.9</v>
          </cell>
          <cell r="JG26">
            <v>531.98</v>
          </cell>
          <cell r="JH26">
            <v>532.49</v>
          </cell>
          <cell r="JI26">
            <v>534.63</v>
          </cell>
          <cell r="JJ26">
            <v>537.14</v>
          </cell>
          <cell r="JK26">
            <v>539.74</v>
          </cell>
          <cell r="JL26">
            <v>542.09</v>
          </cell>
          <cell r="JM26">
            <v>543.80999999999995</v>
          </cell>
          <cell r="JN26">
            <v>544.9</v>
          </cell>
          <cell r="JO26">
            <v>545.78</v>
          </cell>
          <cell r="JP26">
            <v>548.02</v>
          </cell>
          <cell r="JV26">
            <v>558.05999999999995</v>
          </cell>
          <cell r="KB26">
            <v>668.78000000000009</v>
          </cell>
          <cell r="KC26">
            <v>669.04000000000008</v>
          </cell>
          <cell r="KI26">
            <v>678.0200000000001</v>
          </cell>
          <cell r="KT26">
            <v>696.83</v>
          </cell>
          <cell r="KX26">
            <v>700.53</v>
          </cell>
          <cell r="LD26">
            <v>712.09</v>
          </cell>
          <cell r="LR26">
            <v>10300.000000000069</v>
          </cell>
        </row>
        <row r="27">
          <cell r="A27" t="str">
            <v>Solaris Filtro Carbon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IL27">
            <v>519.75000000000011</v>
          </cell>
          <cell r="IU27">
            <v>11469.999999999913</v>
          </cell>
          <cell r="JG27">
            <v>-12.919999999999959</v>
          </cell>
          <cell r="JH27">
            <v>-12919.99999999996</v>
          </cell>
          <cell r="JO27">
            <v>62.019999999999982</v>
          </cell>
          <cell r="KB27">
            <v>110.72000000000014</v>
          </cell>
          <cell r="KI27">
            <v>8980.0000000000182</v>
          </cell>
          <cell r="KT27">
            <v>157.20000000000005</v>
          </cell>
          <cell r="KU27">
            <v>157200.00000000006</v>
          </cell>
          <cell r="LD27">
            <v>11560.000000000058</v>
          </cell>
        </row>
        <row r="28">
          <cell r="A28" t="str">
            <v>MODULOS   NORTE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 t="str">
            <v>Lunes 22</v>
          </cell>
          <cell r="DK28" t="str">
            <v>Martes 23</v>
          </cell>
          <cell r="DL28" t="str">
            <v>Miercoles 24</v>
          </cell>
          <cell r="DM28" t="str">
            <v>Jueves 25</v>
          </cell>
          <cell r="DN28" t="str">
            <v>Viernes 26</v>
          </cell>
          <cell r="DO28" t="str">
            <v>Sabado 27</v>
          </cell>
          <cell r="DP28" t="str">
            <v>Domingo 28</v>
          </cell>
          <cell r="DQ28" t="str">
            <v>Lunes 29</v>
          </cell>
          <cell r="DR28" t="str">
            <v>Martes 30</v>
          </cell>
          <cell r="DS28" t="str">
            <v>Miercoles 1</v>
          </cell>
          <cell r="DT28" t="str">
            <v>Jueves 2</v>
          </cell>
          <cell r="DU28" t="str">
            <v>Viernes 3</v>
          </cell>
          <cell r="DV28" t="str">
            <v>Sabado 4</v>
          </cell>
          <cell r="DW28" t="str">
            <v>Domingo 5</v>
          </cell>
          <cell r="DX28" t="str">
            <v>Lunes 6</v>
          </cell>
          <cell r="DY28" t="str">
            <v>Martes 7</v>
          </cell>
          <cell r="DZ28" t="str">
            <v>Miercoles 8</v>
          </cell>
          <cell r="EA28" t="str">
            <v>Jueves 9</v>
          </cell>
          <cell r="EB28" t="str">
            <v>Viernes 10</v>
          </cell>
          <cell r="EC28" t="str">
            <v>Sabado 11</v>
          </cell>
          <cell r="ED28" t="str">
            <v>Domingo 12</v>
          </cell>
          <cell r="EE28" t="str">
            <v>Miercoles 15</v>
          </cell>
          <cell r="EF28" t="str">
            <v>Jueves 16</v>
          </cell>
          <cell r="EG28" t="str">
            <v>Lunes 13</v>
          </cell>
          <cell r="EH28" t="str">
            <v>Martes 14</v>
          </cell>
          <cell r="EI28" t="str">
            <v>Viernes 17</v>
          </cell>
          <cell r="EJ28" t="str">
            <v>Sabado 18</v>
          </cell>
          <cell r="EK28" t="str">
            <v>Domingo 19</v>
          </cell>
          <cell r="EL28" t="str">
            <v>Lunes 20</v>
          </cell>
          <cell r="EM28" t="str">
            <v>Martes 21</v>
          </cell>
          <cell r="EN28" t="str">
            <v>Miercoles 22</v>
          </cell>
          <cell r="EO28" t="str">
            <v>Jueves 23</v>
          </cell>
          <cell r="EP28" t="str">
            <v>Viernes 24</v>
          </cell>
          <cell r="EQ28" t="str">
            <v>Sabado 25</v>
          </cell>
          <cell r="ER28" t="str">
            <v>Domingo 26</v>
          </cell>
          <cell r="ES28" t="str">
            <v>Lunes 27</v>
          </cell>
          <cell r="ET28" t="str">
            <v>Martes 28</v>
          </cell>
          <cell r="EU28" t="str">
            <v>Miercoles 29</v>
          </cell>
          <cell r="EV28" t="str">
            <v>Jueves 30</v>
          </cell>
          <cell r="EW28" t="str">
            <v>Viernes 31</v>
          </cell>
          <cell r="EX28" t="str">
            <v>Sabado 1</v>
          </cell>
          <cell r="EY28" t="str">
            <v>Domingo 2</v>
          </cell>
          <cell r="EZ28" t="str">
            <v>Lunes 3</v>
          </cell>
          <cell r="FA28" t="str">
            <v>Martes 4</v>
          </cell>
          <cell r="FB28" t="str">
            <v>Miercoles 5</v>
          </cell>
          <cell r="FC28" t="str">
            <v>Jueves 6</v>
          </cell>
          <cell r="FD28" t="str">
            <v>Viernes 7</v>
          </cell>
          <cell r="FE28" t="str">
            <v>Sabado 8</v>
          </cell>
          <cell r="FF28" t="str">
            <v>Domingo 9</v>
          </cell>
          <cell r="FG28" t="str">
            <v>Lunes 10</v>
          </cell>
          <cell r="FH28" t="str">
            <v>Martes 11</v>
          </cell>
          <cell r="FI28" t="str">
            <v>Miercoles 12</v>
          </cell>
          <cell r="FJ28" t="str">
            <v>Jueves 13</v>
          </cell>
          <cell r="FK28" t="str">
            <v>Viernes 14</v>
          </cell>
          <cell r="FL28" t="str">
            <v>Sabado 15</v>
          </cell>
          <cell r="FM28" t="str">
            <v>Domingo 16</v>
          </cell>
          <cell r="FN28" t="str">
            <v>Lunes 17</v>
          </cell>
          <cell r="FO28" t="str">
            <v>Martes 18</v>
          </cell>
          <cell r="FP28" t="str">
            <v>Miercoles 19</v>
          </cell>
          <cell r="FQ28" t="str">
            <v>Jueves 20</v>
          </cell>
          <cell r="FR28" t="str">
            <v>Viernes 21</v>
          </cell>
          <cell r="FS28" t="str">
            <v>Sabado 22</v>
          </cell>
          <cell r="FT28" t="str">
            <v>Domingo 23</v>
          </cell>
          <cell r="FU28" t="str">
            <v>Lunes 24</v>
          </cell>
          <cell r="FV28" t="str">
            <v>Martes 25</v>
          </cell>
          <cell r="FW28" t="str">
            <v>Miercoles 26</v>
          </cell>
          <cell r="FX28" t="str">
            <v>Jueves 27</v>
          </cell>
          <cell r="FY28" t="str">
            <v>Viernes 28</v>
          </cell>
          <cell r="FZ28" t="str">
            <v>Sabado 29</v>
          </cell>
          <cell r="GA28" t="str">
            <v>Domingo 30</v>
          </cell>
          <cell r="GB28" t="str">
            <v>Lunes 1</v>
          </cell>
          <cell r="GC28" t="str">
            <v>Martes 2</v>
          </cell>
          <cell r="GD28" t="str">
            <v>Miercoles 3</v>
          </cell>
          <cell r="GE28" t="str">
            <v>Jueves 4</v>
          </cell>
          <cell r="GF28" t="str">
            <v>Viernes 5</v>
          </cell>
          <cell r="GG28" t="str">
            <v>Sabado 6</v>
          </cell>
          <cell r="GH28" t="str">
            <v>Domingo 7</v>
          </cell>
          <cell r="GI28" t="str">
            <v>Lunes 8</v>
          </cell>
          <cell r="GJ28" t="str">
            <v>Martes 9</v>
          </cell>
          <cell r="GK28" t="str">
            <v>Miercoles 10</v>
          </cell>
          <cell r="GL28" t="str">
            <v>Jueves 11</v>
          </cell>
          <cell r="GM28" t="str">
            <v>Viernes 12</v>
          </cell>
          <cell r="GN28" t="str">
            <v>Sabado 13</v>
          </cell>
          <cell r="GO28" t="str">
            <v>Domingo 14</v>
          </cell>
          <cell r="GP28" t="str">
            <v>Lunes 15</v>
          </cell>
          <cell r="GQ28" t="str">
            <v>Martes 16</v>
          </cell>
          <cell r="GR28" t="str">
            <v>Miercoles 17</v>
          </cell>
          <cell r="GS28" t="str">
            <v>Jueves 18</v>
          </cell>
          <cell r="GT28" t="str">
            <v>Viernes 19</v>
          </cell>
          <cell r="GU28" t="str">
            <v>Sabado 20</v>
          </cell>
          <cell r="GV28" t="str">
            <v>Domingo 21</v>
          </cell>
          <cell r="GW28" t="str">
            <v>Lunes 22</v>
          </cell>
          <cell r="GX28" t="str">
            <v>Martes 23</v>
          </cell>
          <cell r="GY28" t="str">
            <v>Miercoles 24</v>
          </cell>
          <cell r="GZ28" t="str">
            <v>Jueves 25</v>
          </cell>
          <cell r="HA28" t="str">
            <v>Viernes 26</v>
          </cell>
          <cell r="HB28" t="str">
            <v>Sabado 27</v>
          </cell>
          <cell r="HC28" t="str">
            <v>Domingo 28</v>
          </cell>
          <cell r="HD28" t="str">
            <v>Lunes 29</v>
          </cell>
          <cell r="HE28" t="str">
            <v>Martes 30</v>
          </cell>
          <cell r="HF28" t="str">
            <v>Miercoles 31</v>
          </cell>
          <cell r="HG28" t="str">
            <v>Jueves 1</v>
          </cell>
          <cell r="HH28" t="str">
            <v>Viernes 2</v>
          </cell>
          <cell r="HI28" t="str">
            <v>Sabado 3</v>
          </cell>
          <cell r="HJ28" t="str">
            <v>Domingo 4</v>
          </cell>
          <cell r="HK28" t="str">
            <v>Lunes 5</v>
          </cell>
          <cell r="HL28" t="str">
            <v>Martes 6</v>
          </cell>
          <cell r="HM28" t="str">
            <v>Miercoles 7</v>
          </cell>
          <cell r="HN28" t="str">
            <v>Jueves 8</v>
          </cell>
          <cell r="HO28" t="str">
            <v>Viernes 9</v>
          </cell>
          <cell r="HP28" t="str">
            <v>Sabado 10</v>
          </cell>
          <cell r="HQ28" t="str">
            <v>Domingo 11</v>
          </cell>
          <cell r="HR28" t="str">
            <v>Lunes 12</v>
          </cell>
          <cell r="HS28" t="str">
            <v>Martes 13</v>
          </cell>
          <cell r="HT28" t="str">
            <v>Miercoles 14</v>
          </cell>
          <cell r="HU28" t="str">
            <v>Jueves 15</v>
          </cell>
          <cell r="HV28" t="str">
            <v>Viernes 16</v>
          </cell>
          <cell r="HW28" t="str">
            <v>Sabado 17</v>
          </cell>
          <cell r="HX28" t="str">
            <v>Domingo 18</v>
          </cell>
          <cell r="HY28" t="str">
            <v>Lunes 19</v>
          </cell>
          <cell r="HZ28" t="str">
            <v>Martes 20</v>
          </cell>
          <cell r="IA28" t="str">
            <v>Miercoles 21</v>
          </cell>
          <cell r="IB28" t="str">
            <v>Jueves 22</v>
          </cell>
          <cell r="IC28" t="str">
            <v>Viernes 23</v>
          </cell>
          <cell r="ID28" t="str">
            <v>Sabado 24</v>
          </cell>
          <cell r="IE28" t="str">
            <v>Domingo 25</v>
          </cell>
          <cell r="IF28" t="str">
            <v>Lunes 26</v>
          </cell>
          <cell r="IG28" t="str">
            <v>Martes 27</v>
          </cell>
          <cell r="IH28" t="str">
            <v>Miercoles 28</v>
          </cell>
          <cell r="II28" t="str">
            <v>Jueves 29</v>
          </cell>
          <cell r="IJ28" t="str">
            <v>Viernes 30</v>
          </cell>
          <cell r="IK28" t="str">
            <v>Sabado 31</v>
          </cell>
          <cell r="IL28" t="str">
            <v>Domingo 1</v>
          </cell>
          <cell r="IM28" t="str">
            <v>Lunes 2</v>
          </cell>
          <cell r="IN28" t="str">
            <v>Martes 3</v>
          </cell>
          <cell r="IO28" t="str">
            <v>Miercoles 4</v>
          </cell>
          <cell r="IP28" t="str">
            <v>Jueves 5</v>
          </cell>
          <cell r="IQ28" t="str">
            <v>Viernes 6</v>
          </cell>
          <cell r="IR28" t="str">
            <v>Sábado 7</v>
          </cell>
          <cell r="IS28" t="str">
            <v>Domingo 8</v>
          </cell>
          <cell r="IT28" t="str">
            <v>Lunes 9</v>
          </cell>
          <cell r="IU28" t="str">
            <v>Martes 10</v>
          </cell>
          <cell r="IV28" t="str">
            <v>Miercoles 11</v>
          </cell>
          <cell r="IW28" t="str">
            <v>Jueves 12</v>
          </cell>
          <cell r="IX28" t="str">
            <v>Viernes 13</v>
          </cell>
          <cell r="IY28" t="str">
            <v>Sábado 14</v>
          </cell>
          <cell r="IZ28" t="str">
            <v>Domingo 15</v>
          </cell>
          <cell r="JA28" t="str">
            <v>Lunes 16</v>
          </cell>
          <cell r="JB28" t="str">
            <v>Martes 17</v>
          </cell>
          <cell r="JC28" t="str">
            <v>Miercoles 18</v>
          </cell>
          <cell r="JD28" t="str">
            <v>Jueves 19</v>
          </cell>
          <cell r="JE28" t="str">
            <v>Viernes 20</v>
          </cell>
          <cell r="JF28" t="str">
            <v>Sábado 21</v>
          </cell>
          <cell r="JG28" t="str">
            <v>Domingo 22</v>
          </cell>
          <cell r="JH28" t="str">
            <v>Lunes 23</v>
          </cell>
          <cell r="JI28" t="str">
            <v>Martes 24</v>
          </cell>
          <cell r="JJ28" t="str">
            <v>Miercoles 25</v>
          </cell>
          <cell r="JK28" t="str">
            <v>Jueves 26</v>
          </cell>
          <cell r="JL28" t="str">
            <v>Viernes 27</v>
          </cell>
          <cell r="JM28" t="str">
            <v>Sabado 28</v>
          </cell>
          <cell r="JN28" t="str">
            <v>Domingo 29</v>
          </cell>
          <cell r="JO28" t="str">
            <v>Lunes 30</v>
          </cell>
          <cell r="JP28" t="str">
            <v>Martes 1</v>
          </cell>
          <cell r="JQ28" t="str">
            <v>Miercoles 2</v>
          </cell>
          <cell r="JR28" t="str">
            <v>Jueves 3</v>
          </cell>
          <cell r="JS28" t="str">
            <v>Viernes 4</v>
          </cell>
          <cell r="JT28" t="str">
            <v>Sabado 5</v>
          </cell>
          <cell r="JU28" t="str">
            <v>Domingo 6</v>
          </cell>
          <cell r="JV28" t="str">
            <v>Lunes 7</v>
          </cell>
          <cell r="JW28" t="str">
            <v>Martes 8</v>
          </cell>
          <cell r="JX28" t="str">
            <v>Miercoles 9</v>
          </cell>
          <cell r="JY28" t="str">
            <v>Jueves 10</v>
          </cell>
          <cell r="JZ28" t="str">
            <v>Viernes 11</v>
          </cell>
          <cell r="KA28" t="str">
            <v>Sabado 12</v>
          </cell>
          <cell r="KB28" t="str">
            <v>Domingo 13</v>
          </cell>
          <cell r="KC28" t="str">
            <v>Lunes 14</v>
          </cell>
          <cell r="KD28" t="str">
            <v>Martes 15</v>
          </cell>
          <cell r="KE28" t="str">
            <v>Miercoles 16</v>
          </cell>
          <cell r="KF28" t="str">
            <v>Jueves 17</v>
          </cell>
          <cell r="KG28" t="str">
            <v>Viernes 18</v>
          </cell>
          <cell r="KH28" t="str">
            <v>Sabado 19</v>
          </cell>
          <cell r="KI28" t="str">
            <v>Domingo 20</v>
          </cell>
          <cell r="KJ28" t="str">
            <v>Lunes 21</v>
          </cell>
          <cell r="KK28" t="str">
            <v>Martes 22</v>
          </cell>
          <cell r="KL28" t="str">
            <v>Miercoles 23</v>
          </cell>
          <cell r="KM28" t="str">
            <v>Jueves 24</v>
          </cell>
          <cell r="KN28" t="str">
            <v>Viernes 25</v>
          </cell>
          <cell r="KO28" t="str">
            <v>Sabado 26</v>
          </cell>
          <cell r="KP28" t="str">
            <v>Domingo 27</v>
          </cell>
          <cell r="KQ28" t="str">
            <v>Lunes 28</v>
          </cell>
          <cell r="KR28" t="str">
            <v>Martes 29</v>
          </cell>
          <cell r="KS28" t="str">
            <v>Miercoles 30</v>
          </cell>
          <cell r="KT28" t="str">
            <v>Jueves 31</v>
          </cell>
          <cell r="KU28" t="str">
            <v>Viernes 1</v>
          </cell>
          <cell r="KV28" t="str">
            <v>Sabado 2</v>
          </cell>
          <cell r="KW28" t="str">
            <v>Domingo 3</v>
          </cell>
          <cell r="KX28" t="str">
            <v>Lunes 4</v>
          </cell>
          <cell r="KY28" t="str">
            <v>Martes 5</v>
          </cell>
          <cell r="KZ28" t="str">
            <v>Miercoles 6</v>
          </cell>
          <cell r="LA28" t="str">
            <v>Jueves 7</v>
          </cell>
          <cell r="LB28" t="str">
            <v>Viernes 8</v>
          </cell>
          <cell r="LC28" t="str">
            <v>Sabado 9</v>
          </cell>
          <cell r="LD28" t="str">
            <v>Domingo 10</v>
          </cell>
          <cell r="LE28" t="str">
            <v>Lunes 11</v>
          </cell>
          <cell r="LF28" t="str">
            <v>Martes 12</v>
          </cell>
          <cell r="LG28" t="str">
            <v>Miercoles 13</v>
          </cell>
          <cell r="LH28" t="str">
            <v>Jueves 14</v>
          </cell>
          <cell r="LI28" t="str">
            <v>Viernes 15</v>
          </cell>
          <cell r="LJ28" t="str">
            <v>Sabado 16</v>
          </cell>
          <cell r="LK28" t="str">
            <v>Domingo 17</v>
          </cell>
          <cell r="LL28" t="str">
            <v>Lunes 18</v>
          </cell>
          <cell r="LM28" t="str">
            <v>Martes 19</v>
          </cell>
          <cell r="LN28" t="str">
            <v>Miercoles 20</v>
          </cell>
          <cell r="LO28" t="str">
            <v>Jueves 21</v>
          </cell>
          <cell r="LP28" t="str">
            <v>Viernes 22</v>
          </cell>
          <cell r="LQ28" t="str">
            <v>Sabado 23</v>
          </cell>
          <cell r="LR28" t="str">
            <v>Domingo 24</v>
          </cell>
          <cell r="LS28" t="str">
            <v>Lunes 25</v>
          </cell>
          <cell r="LT28" t="str">
            <v>Martes 26</v>
          </cell>
          <cell r="LU28" t="str">
            <v>Miercoles 27</v>
          </cell>
          <cell r="LV28" t="str">
            <v>Jueves 28</v>
          </cell>
          <cell r="LW28" t="str">
            <v>Viernes 29</v>
          </cell>
          <cell r="LX28" t="str">
            <v>Sabado 30</v>
          </cell>
          <cell r="LY28" t="str">
            <v>Domingo 1</v>
          </cell>
          <cell r="LZ28" t="str">
            <v>Lunes 2</v>
          </cell>
          <cell r="MA28" t="str">
            <v>Martes 3</v>
          </cell>
          <cell r="MB28" t="str">
            <v>Miercoles 4</v>
          </cell>
          <cell r="MC28" t="str">
            <v>Jueves 5</v>
          </cell>
          <cell r="MD28" t="str">
            <v>Viernes 6</v>
          </cell>
          <cell r="ME28" t="str">
            <v>Sabado 7</v>
          </cell>
          <cell r="MF28" t="str">
            <v>Domingo 8</v>
          </cell>
          <cell r="MG28" t="str">
            <v>Lunes 9</v>
          </cell>
          <cell r="MH28" t="str">
            <v>Martes 10</v>
          </cell>
        </row>
        <row r="29">
          <cell r="A29" t="str">
            <v>SD 1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0.12</v>
          </cell>
          <cell r="DK29">
            <v>1.3</v>
          </cell>
          <cell r="DL29">
            <v>2.48</v>
          </cell>
          <cell r="DM29">
            <v>3.68</v>
          </cell>
          <cell r="DN29">
            <v>4.75</v>
          </cell>
          <cell r="DO29">
            <v>6.01</v>
          </cell>
          <cell r="DP29">
            <v>7.18</v>
          </cell>
          <cell r="DQ29">
            <v>8.2100000000000009</v>
          </cell>
          <cell r="DR29">
            <v>9.36</v>
          </cell>
          <cell r="DS29">
            <v>10.48</v>
          </cell>
          <cell r="DT29">
            <v>11.28</v>
          </cell>
          <cell r="DU29">
            <v>12.14</v>
          </cell>
          <cell r="DV29">
            <v>13.34</v>
          </cell>
          <cell r="DW29">
            <v>14.52</v>
          </cell>
          <cell r="DX29">
            <v>15.61</v>
          </cell>
          <cell r="DY29">
            <v>16.61</v>
          </cell>
          <cell r="DZ29">
            <v>17.760000000000002</v>
          </cell>
          <cell r="EA29">
            <v>18.61</v>
          </cell>
          <cell r="EB29">
            <v>19.75</v>
          </cell>
          <cell r="EC29">
            <v>20.75</v>
          </cell>
          <cell r="ED29">
            <v>21.98</v>
          </cell>
          <cell r="EE29">
            <v>25</v>
          </cell>
          <cell r="EF29">
            <v>26</v>
          </cell>
          <cell r="EG29">
            <v>23</v>
          </cell>
          <cell r="EH29">
            <v>24.15</v>
          </cell>
          <cell r="EI29">
            <v>27.65</v>
          </cell>
          <cell r="EJ29">
            <v>28.84</v>
          </cell>
          <cell r="EK29">
            <v>30.1</v>
          </cell>
          <cell r="EL29">
            <v>31.14</v>
          </cell>
          <cell r="EM29">
            <v>32.35</v>
          </cell>
          <cell r="EN29">
            <v>33.54</v>
          </cell>
          <cell r="EO29">
            <v>34.69</v>
          </cell>
          <cell r="EP29">
            <v>35.78</v>
          </cell>
          <cell r="EQ29">
            <v>36.979999999999997</v>
          </cell>
          <cell r="ER29">
            <v>38.18</v>
          </cell>
          <cell r="ES29">
            <v>39.14</v>
          </cell>
          <cell r="ET29">
            <v>40.33</v>
          </cell>
          <cell r="EU29">
            <v>41.47</v>
          </cell>
          <cell r="EV29">
            <v>42.61</v>
          </cell>
          <cell r="EW29">
            <v>43.82</v>
          </cell>
          <cell r="EX29">
            <v>44.88</v>
          </cell>
          <cell r="EY29">
            <v>46.06</v>
          </cell>
          <cell r="EZ29">
            <v>47.13</v>
          </cell>
          <cell r="FA29">
            <v>48.3</v>
          </cell>
          <cell r="FB29">
            <v>49.48</v>
          </cell>
          <cell r="FC29">
            <v>50.58</v>
          </cell>
          <cell r="FD29">
            <v>51.66</v>
          </cell>
          <cell r="FE29">
            <v>52.8</v>
          </cell>
          <cell r="FF29">
            <v>53.94</v>
          </cell>
          <cell r="FG29">
            <v>54.99</v>
          </cell>
          <cell r="FH29">
            <v>56.24</v>
          </cell>
          <cell r="FI29">
            <v>57.34</v>
          </cell>
          <cell r="FJ29">
            <v>58.48</v>
          </cell>
          <cell r="FK29">
            <v>59.3</v>
          </cell>
          <cell r="FL29">
            <v>60.47</v>
          </cell>
          <cell r="FM29">
            <v>61.61</v>
          </cell>
          <cell r="FN29">
            <v>62.35</v>
          </cell>
          <cell r="FO29">
            <v>63.42</v>
          </cell>
          <cell r="FP29">
            <v>64.56</v>
          </cell>
          <cell r="FQ29">
            <v>65.75</v>
          </cell>
          <cell r="FR29">
            <v>66.83</v>
          </cell>
          <cell r="FS29">
            <v>68.180000000000007</v>
          </cell>
          <cell r="FT29">
            <v>69.09</v>
          </cell>
          <cell r="FU29">
            <v>70.260000000000005</v>
          </cell>
          <cell r="FV29">
            <v>71.42</v>
          </cell>
          <cell r="FW29">
            <v>72.58</v>
          </cell>
          <cell r="FX29">
            <v>73.680000000000007</v>
          </cell>
          <cell r="FY29">
            <v>74.83</v>
          </cell>
          <cell r="FZ29">
            <v>76.06</v>
          </cell>
          <cell r="GA29">
            <v>77.209999999999994</v>
          </cell>
          <cell r="GB29">
            <v>78.3</v>
          </cell>
          <cell r="GC29">
            <v>79.44</v>
          </cell>
          <cell r="GD29">
            <v>80.59</v>
          </cell>
          <cell r="GE29">
            <v>81.7</v>
          </cell>
          <cell r="GF29">
            <v>82.78</v>
          </cell>
          <cell r="GG29">
            <v>83.87</v>
          </cell>
          <cell r="GH29">
            <v>85.16</v>
          </cell>
          <cell r="GI29">
            <v>86.1</v>
          </cell>
          <cell r="GJ29">
            <v>87.31</v>
          </cell>
          <cell r="GK29">
            <v>88.52</v>
          </cell>
          <cell r="GL29">
            <v>89.64</v>
          </cell>
          <cell r="GM29">
            <v>90.75</v>
          </cell>
          <cell r="GN29">
            <v>91.92</v>
          </cell>
          <cell r="GO29">
            <v>93.19</v>
          </cell>
          <cell r="GP29">
            <v>94.32</v>
          </cell>
          <cell r="GQ29">
            <v>95.52</v>
          </cell>
          <cell r="GR29">
            <v>96.66</v>
          </cell>
          <cell r="GS29">
            <v>97.79</v>
          </cell>
          <cell r="GT29">
            <v>98.82</v>
          </cell>
          <cell r="GU29">
            <v>99.99</v>
          </cell>
          <cell r="GV29">
            <v>101.14</v>
          </cell>
          <cell r="GW29">
            <v>102.15</v>
          </cell>
          <cell r="GX29">
            <v>103.29</v>
          </cell>
          <cell r="GY29">
            <v>104.3</v>
          </cell>
          <cell r="GZ29">
            <v>104.93</v>
          </cell>
          <cell r="HA29">
            <v>105.92</v>
          </cell>
          <cell r="HB29">
            <v>107.04</v>
          </cell>
          <cell r="HC29">
            <v>108.29</v>
          </cell>
          <cell r="HD29">
            <v>109.34</v>
          </cell>
          <cell r="HE29">
            <v>110.51</v>
          </cell>
          <cell r="HF29">
            <v>111.66</v>
          </cell>
          <cell r="HG29">
            <v>112.74</v>
          </cell>
          <cell r="HH29">
            <v>113.88</v>
          </cell>
          <cell r="HI29">
            <v>114.73</v>
          </cell>
          <cell r="HJ29">
            <v>115.88</v>
          </cell>
          <cell r="HK29">
            <v>116.99</v>
          </cell>
          <cell r="HL29">
            <v>118.15</v>
          </cell>
          <cell r="HM29">
            <v>119.33</v>
          </cell>
          <cell r="HN29">
            <v>120.48</v>
          </cell>
          <cell r="HO29">
            <v>121.5</v>
          </cell>
          <cell r="HP29">
            <v>122.71</v>
          </cell>
          <cell r="HQ29">
            <v>123.67</v>
          </cell>
          <cell r="HR29">
            <v>124.74</v>
          </cell>
          <cell r="HS29">
            <v>125.83</v>
          </cell>
          <cell r="HT29">
            <v>126.93</v>
          </cell>
          <cell r="HU29">
            <v>127.99</v>
          </cell>
          <cell r="HV29">
            <v>129.03</v>
          </cell>
          <cell r="HW29">
            <v>130.13999999999999</v>
          </cell>
          <cell r="HX29">
            <v>131.33000000000001</v>
          </cell>
          <cell r="HY29">
            <v>132.36000000000001</v>
          </cell>
          <cell r="HZ29">
            <v>133.55000000000001</v>
          </cell>
          <cell r="IA29">
            <v>134.63</v>
          </cell>
          <cell r="IB29">
            <v>135.66</v>
          </cell>
          <cell r="IC29">
            <v>135.91</v>
          </cell>
          <cell r="ID29">
            <v>137.09</v>
          </cell>
          <cell r="IE29">
            <v>138.24</v>
          </cell>
          <cell r="IF29">
            <v>139.31</v>
          </cell>
          <cell r="IG29">
            <v>140.37</v>
          </cell>
          <cell r="IH29">
            <v>141.44</v>
          </cell>
          <cell r="II29">
            <v>142.57</v>
          </cell>
          <cell r="IJ29">
            <v>143.63</v>
          </cell>
          <cell r="IK29">
            <v>144.75</v>
          </cell>
          <cell r="IL29">
            <v>145.88</v>
          </cell>
          <cell r="IM29">
            <v>147</v>
          </cell>
          <cell r="IN29">
            <v>148.09</v>
          </cell>
          <cell r="IO29">
            <v>148.88</v>
          </cell>
          <cell r="IP29">
            <v>149.38</v>
          </cell>
          <cell r="IQ29">
            <v>150.36000000000001</v>
          </cell>
          <cell r="IR29">
            <v>151.5</v>
          </cell>
          <cell r="IS29">
            <v>152.56</v>
          </cell>
          <cell r="IT29">
            <v>153.56</v>
          </cell>
          <cell r="IU29">
            <v>154.69999999999999</v>
          </cell>
          <cell r="IV29">
            <v>155.87</v>
          </cell>
          <cell r="IW29">
            <v>156.94999999999999</v>
          </cell>
          <cell r="IX29">
            <v>158</v>
          </cell>
          <cell r="IY29">
            <v>159.26</v>
          </cell>
          <cell r="IZ29">
            <v>160.28</v>
          </cell>
          <cell r="JA29">
            <v>161.32</v>
          </cell>
          <cell r="JB29">
            <v>162.49</v>
          </cell>
          <cell r="JC29">
            <v>163.56</v>
          </cell>
          <cell r="JD29">
            <v>164.75</v>
          </cell>
          <cell r="JE29">
            <v>165.78</v>
          </cell>
          <cell r="JF29">
            <v>166.94</v>
          </cell>
          <cell r="JG29">
            <v>168.1</v>
          </cell>
          <cell r="JH29">
            <v>169.21</v>
          </cell>
          <cell r="JI29">
            <v>170.33</v>
          </cell>
          <cell r="JJ29">
            <v>171.46</v>
          </cell>
          <cell r="JK29">
            <v>172.58</v>
          </cell>
          <cell r="JL29">
            <v>173.6</v>
          </cell>
          <cell r="JM29">
            <v>174.68</v>
          </cell>
          <cell r="JN29">
            <v>175.84</v>
          </cell>
          <cell r="JO29">
            <v>176.82</v>
          </cell>
          <cell r="JP29">
            <v>177.86</v>
          </cell>
          <cell r="JQ29">
            <v>178.97</v>
          </cell>
          <cell r="JR29">
            <v>180.01</v>
          </cell>
          <cell r="JS29">
            <v>181.07</v>
          </cell>
          <cell r="JT29">
            <v>182.15</v>
          </cell>
          <cell r="JU29">
            <v>183.29</v>
          </cell>
          <cell r="JV29">
            <v>184.31</v>
          </cell>
          <cell r="JW29">
            <v>185.51</v>
          </cell>
          <cell r="JX29">
            <v>185.54</v>
          </cell>
          <cell r="JY29">
            <v>186.62</v>
          </cell>
          <cell r="JZ29">
            <v>188.44</v>
          </cell>
          <cell r="KA29">
            <v>189.57</v>
          </cell>
          <cell r="KB29">
            <v>189.78</v>
          </cell>
          <cell r="KC29">
            <v>189.94</v>
          </cell>
          <cell r="KD29">
            <v>191.03</v>
          </cell>
          <cell r="KE29">
            <v>192.22</v>
          </cell>
          <cell r="KF29">
            <v>193.4</v>
          </cell>
          <cell r="KG29">
            <v>194.54</v>
          </cell>
          <cell r="KH29">
            <v>195.4</v>
          </cell>
          <cell r="KI29">
            <v>196.71</v>
          </cell>
          <cell r="KJ29">
            <v>197.85</v>
          </cell>
          <cell r="KK29">
            <v>199.11</v>
          </cell>
          <cell r="KL29">
            <v>200.31</v>
          </cell>
          <cell r="KM29">
            <v>201.47</v>
          </cell>
          <cell r="KN29">
            <v>202.61</v>
          </cell>
          <cell r="KO29">
            <v>203.82</v>
          </cell>
          <cell r="KP29">
            <v>204.32</v>
          </cell>
          <cell r="KQ29">
            <v>205.64</v>
          </cell>
          <cell r="KR29">
            <v>206.83</v>
          </cell>
          <cell r="KS29">
            <v>207.97</v>
          </cell>
          <cell r="KT29">
            <v>209.14</v>
          </cell>
          <cell r="KU29">
            <v>210.21</v>
          </cell>
          <cell r="KV29">
            <v>211.41</v>
          </cell>
          <cell r="KW29">
            <v>212.54</v>
          </cell>
          <cell r="KX29">
            <v>213.67</v>
          </cell>
          <cell r="KY29">
            <v>214.9</v>
          </cell>
          <cell r="KZ29">
            <v>216.11</v>
          </cell>
          <cell r="LA29">
            <v>217.25</v>
          </cell>
          <cell r="LB29">
            <v>218.29</v>
          </cell>
          <cell r="LC29">
            <v>219.44</v>
          </cell>
          <cell r="LD29">
            <v>220.6</v>
          </cell>
          <cell r="LE29">
            <v>221.68</v>
          </cell>
          <cell r="LF29">
            <v>222.88</v>
          </cell>
          <cell r="LG29">
            <v>224.04</v>
          </cell>
          <cell r="LH29">
            <v>225.24</v>
          </cell>
          <cell r="LI29">
            <v>226.28</v>
          </cell>
          <cell r="LJ29">
            <v>227.52</v>
          </cell>
          <cell r="LK29">
            <v>228.64</v>
          </cell>
          <cell r="LL29">
            <v>229.8</v>
          </cell>
          <cell r="LM29">
            <v>231</v>
          </cell>
          <cell r="LN29">
            <v>232.13</v>
          </cell>
          <cell r="LO29">
            <v>232.95</v>
          </cell>
          <cell r="LP29">
            <v>234</v>
          </cell>
          <cell r="LQ29">
            <v>235.24</v>
          </cell>
          <cell r="LR29">
            <v>236.46</v>
          </cell>
          <cell r="LS29">
            <v>238.83</v>
          </cell>
          <cell r="LT29">
            <v>238.98</v>
          </cell>
          <cell r="LU29">
            <v>239.89</v>
          </cell>
          <cell r="LV29">
            <v>241.04</v>
          </cell>
          <cell r="LW29">
            <v>242.12</v>
          </cell>
          <cell r="LX29">
            <v>243.42000000000002</v>
          </cell>
          <cell r="LY29">
            <v>244.60000000000002</v>
          </cell>
          <cell r="LZ29">
            <v>245.68</v>
          </cell>
          <cell r="MA29">
            <v>246.88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</row>
        <row r="30">
          <cell r="A30" t="str">
            <v>SD 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0.12</v>
          </cell>
          <cell r="DK30">
            <v>1.31</v>
          </cell>
          <cell r="DL30">
            <v>2.4700000000000002</v>
          </cell>
          <cell r="DM30">
            <v>3.63</v>
          </cell>
          <cell r="DN30">
            <v>4.9400000000000004</v>
          </cell>
          <cell r="DO30">
            <v>6.05</v>
          </cell>
          <cell r="DP30">
            <v>7.12</v>
          </cell>
          <cell r="DQ30">
            <v>8.18</v>
          </cell>
          <cell r="DR30">
            <v>9.07</v>
          </cell>
          <cell r="DS30">
            <v>10.199999999999999</v>
          </cell>
          <cell r="DT30">
            <v>11.25</v>
          </cell>
          <cell r="DU30">
            <v>12.48</v>
          </cell>
          <cell r="DV30">
            <v>13.73</v>
          </cell>
          <cell r="DW30">
            <v>14.99</v>
          </cell>
          <cell r="DX30">
            <v>15.91</v>
          </cell>
          <cell r="DY30">
            <v>16.89</v>
          </cell>
          <cell r="DZ30">
            <v>18.11</v>
          </cell>
          <cell r="EA30">
            <v>19.22</v>
          </cell>
          <cell r="EB30">
            <v>20.38</v>
          </cell>
          <cell r="EC30">
            <v>21.47</v>
          </cell>
          <cell r="ED30">
            <v>22.72</v>
          </cell>
          <cell r="EE30">
            <v>25</v>
          </cell>
          <cell r="EF30">
            <v>26</v>
          </cell>
          <cell r="EG30">
            <v>23.77</v>
          </cell>
          <cell r="EH30">
            <v>24</v>
          </cell>
          <cell r="EI30">
            <v>28.56</v>
          </cell>
          <cell r="EJ30">
            <v>29.64</v>
          </cell>
          <cell r="EK30">
            <v>30.4</v>
          </cell>
          <cell r="EL30">
            <v>31.75</v>
          </cell>
          <cell r="EM30">
            <v>32.99</v>
          </cell>
          <cell r="EN30">
            <v>34.21</v>
          </cell>
          <cell r="EO30">
            <v>35.04</v>
          </cell>
          <cell r="EP30">
            <v>36.58</v>
          </cell>
          <cell r="EQ30">
            <v>37.79</v>
          </cell>
          <cell r="ER30">
            <v>39</v>
          </cell>
          <cell r="ES30">
            <v>40.06</v>
          </cell>
          <cell r="ET30">
            <v>41.26</v>
          </cell>
          <cell r="EU30">
            <v>42.4</v>
          </cell>
          <cell r="EV30">
            <v>43.53</v>
          </cell>
          <cell r="EW30">
            <v>44.76</v>
          </cell>
          <cell r="EX30">
            <v>45.89</v>
          </cell>
          <cell r="EY30">
            <v>47.11</v>
          </cell>
          <cell r="EZ30">
            <v>47.97</v>
          </cell>
          <cell r="FA30">
            <v>48.92</v>
          </cell>
          <cell r="FB30">
            <v>50.05</v>
          </cell>
          <cell r="FC30">
            <v>50.79</v>
          </cell>
          <cell r="FD30">
            <v>51.94</v>
          </cell>
          <cell r="FE30">
            <v>52.81</v>
          </cell>
          <cell r="FF30">
            <v>53.96</v>
          </cell>
          <cell r="FG30">
            <v>55.04</v>
          </cell>
          <cell r="FH30">
            <v>56.17</v>
          </cell>
          <cell r="FI30">
            <v>57.39</v>
          </cell>
          <cell r="FJ30">
            <v>58.57</v>
          </cell>
          <cell r="FK30">
            <v>59.69</v>
          </cell>
          <cell r="FL30">
            <v>60.84</v>
          </cell>
          <cell r="FM30">
            <v>61.92</v>
          </cell>
          <cell r="FN30">
            <v>62.67</v>
          </cell>
          <cell r="FO30">
            <v>63.78</v>
          </cell>
          <cell r="FP30">
            <v>64.97</v>
          </cell>
          <cell r="FQ30">
            <v>66.06</v>
          </cell>
          <cell r="FR30">
            <v>67.180000000000007</v>
          </cell>
          <cell r="FS30">
            <v>68.430000000000007</v>
          </cell>
          <cell r="FT30">
            <v>69.239999999999995</v>
          </cell>
          <cell r="FU30">
            <v>69.650000000000006</v>
          </cell>
          <cell r="FV30">
            <v>70.5</v>
          </cell>
          <cell r="FW30">
            <v>71.709999999999994</v>
          </cell>
          <cell r="FX30">
            <v>72.900000000000006</v>
          </cell>
          <cell r="FY30">
            <v>74.069999999999993</v>
          </cell>
          <cell r="FZ30">
            <v>75.27</v>
          </cell>
          <cell r="GA30">
            <v>76.48</v>
          </cell>
          <cell r="GB30">
            <v>77.66</v>
          </cell>
          <cell r="GC30">
            <v>78.88</v>
          </cell>
          <cell r="GD30">
            <v>80.099999999999994</v>
          </cell>
          <cell r="GE30">
            <v>81.3</v>
          </cell>
          <cell r="GF30">
            <v>82.5</v>
          </cell>
          <cell r="GG30">
            <v>83.72</v>
          </cell>
          <cell r="GH30">
            <v>85</v>
          </cell>
          <cell r="GI30">
            <v>85.89</v>
          </cell>
          <cell r="GJ30">
            <v>87.03</v>
          </cell>
          <cell r="GK30">
            <v>88.21</v>
          </cell>
          <cell r="GL30">
            <v>89.33</v>
          </cell>
          <cell r="GM30">
            <v>90.51</v>
          </cell>
          <cell r="GN30">
            <v>91.62</v>
          </cell>
          <cell r="GO30">
            <v>92.88</v>
          </cell>
          <cell r="GP30">
            <v>93.98</v>
          </cell>
          <cell r="GQ30">
            <v>95.17</v>
          </cell>
          <cell r="GR30">
            <v>96.31</v>
          </cell>
          <cell r="GS30">
            <v>97</v>
          </cell>
          <cell r="GT30">
            <v>98.06</v>
          </cell>
          <cell r="GU30">
            <v>99.2</v>
          </cell>
          <cell r="GV30">
            <v>100.39</v>
          </cell>
          <cell r="GW30">
            <v>101.35</v>
          </cell>
          <cell r="GX30">
            <v>102.27</v>
          </cell>
          <cell r="GY30">
            <v>103.2</v>
          </cell>
          <cell r="GZ30">
            <v>104.38</v>
          </cell>
          <cell r="HA30">
            <v>105.52</v>
          </cell>
          <cell r="HB30">
            <v>106.76</v>
          </cell>
          <cell r="HC30">
            <v>107.89</v>
          </cell>
          <cell r="HD30">
            <v>108.33</v>
          </cell>
          <cell r="HE30">
            <v>109.52</v>
          </cell>
          <cell r="HF30">
            <v>110.73</v>
          </cell>
          <cell r="HG30">
            <v>111.79</v>
          </cell>
          <cell r="HH30">
            <v>112.97</v>
          </cell>
          <cell r="HI30">
            <v>113.89</v>
          </cell>
          <cell r="HJ30">
            <v>115.05</v>
          </cell>
          <cell r="HK30">
            <v>116.1</v>
          </cell>
          <cell r="HL30">
            <v>117.34</v>
          </cell>
          <cell r="HM30">
            <v>118.59</v>
          </cell>
          <cell r="HN30">
            <v>119.8</v>
          </cell>
          <cell r="HO30">
            <v>121.01</v>
          </cell>
          <cell r="HP30">
            <v>122.24</v>
          </cell>
          <cell r="HQ30">
            <v>123.64</v>
          </cell>
          <cell r="HR30">
            <v>124.42</v>
          </cell>
          <cell r="HS30">
            <v>125.42</v>
          </cell>
          <cell r="HT30">
            <v>126.61</v>
          </cell>
          <cell r="HU30">
            <v>127.8</v>
          </cell>
          <cell r="HV30">
            <v>129</v>
          </cell>
          <cell r="HW30">
            <v>129.80000000000001</v>
          </cell>
          <cell r="HX30">
            <v>131.12</v>
          </cell>
          <cell r="HY30">
            <v>132.02000000000001</v>
          </cell>
          <cell r="HZ30">
            <v>133.07</v>
          </cell>
          <cell r="IA30">
            <v>134.18</v>
          </cell>
          <cell r="IB30">
            <v>135.19</v>
          </cell>
          <cell r="IC30">
            <v>135.49</v>
          </cell>
          <cell r="ID30">
            <v>136.71</v>
          </cell>
          <cell r="IE30">
            <v>137.6</v>
          </cell>
          <cell r="IF30">
            <v>138.04</v>
          </cell>
          <cell r="IG30">
            <v>139.09</v>
          </cell>
          <cell r="IH30">
            <v>140.27000000000001</v>
          </cell>
          <cell r="II30">
            <v>141.44</v>
          </cell>
          <cell r="IJ30">
            <v>142.28</v>
          </cell>
          <cell r="IK30">
            <v>143.44999999999999</v>
          </cell>
          <cell r="IL30">
            <v>144.68</v>
          </cell>
          <cell r="IM30">
            <v>145.84</v>
          </cell>
          <cell r="IN30">
            <v>147.06</v>
          </cell>
          <cell r="IO30">
            <v>148.25</v>
          </cell>
          <cell r="IP30">
            <v>148.82</v>
          </cell>
          <cell r="IQ30">
            <v>149.69999999999999</v>
          </cell>
          <cell r="IR30">
            <v>150.80000000000001</v>
          </cell>
          <cell r="IS30">
            <v>152.08000000000001</v>
          </cell>
          <cell r="IT30">
            <v>153.13999999999999</v>
          </cell>
          <cell r="IU30">
            <v>154.19999999999999</v>
          </cell>
          <cell r="IV30">
            <v>155.47</v>
          </cell>
          <cell r="IW30">
            <v>156.66</v>
          </cell>
          <cell r="IX30">
            <v>157.86000000000001</v>
          </cell>
          <cell r="IY30">
            <v>159.12</v>
          </cell>
          <cell r="IZ30">
            <v>160.16</v>
          </cell>
          <cell r="JA30">
            <v>161.16999999999999</v>
          </cell>
          <cell r="JB30">
            <v>161.83000000000001</v>
          </cell>
          <cell r="JC30">
            <v>162.94999999999999</v>
          </cell>
          <cell r="JD30">
            <v>164.16</v>
          </cell>
          <cell r="JE30">
            <v>165.32</v>
          </cell>
          <cell r="JF30">
            <v>166.44</v>
          </cell>
          <cell r="JG30">
            <v>167.51</v>
          </cell>
          <cell r="JH30">
            <v>168.63</v>
          </cell>
          <cell r="JI30">
            <v>169.87</v>
          </cell>
          <cell r="JJ30">
            <v>171.08</v>
          </cell>
          <cell r="JK30">
            <v>172.24</v>
          </cell>
          <cell r="JL30">
            <v>173.45</v>
          </cell>
          <cell r="JM30">
            <v>174.59</v>
          </cell>
          <cell r="JN30">
            <v>175.66</v>
          </cell>
          <cell r="JO30">
            <v>176.93</v>
          </cell>
          <cell r="JP30">
            <v>178.12</v>
          </cell>
          <cell r="JQ30">
            <v>179.1</v>
          </cell>
          <cell r="JR30">
            <v>180.08</v>
          </cell>
          <cell r="JS30">
            <v>180.91</v>
          </cell>
          <cell r="JT30">
            <v>182.09</v>
          </cell>
          <cell r="JU30">
            <v>183.35</v>
          </cell>
          <cell r="JV30">
            <v>184.44</v>
          </cell>
          <cell r="JW30">
            <v>185.66</v>
          </cell>
          <cell r="JX30">
            <v>186.84</v>
          </cell>
          <cell r="JY30">
            <v>188.03</v>
          </cell>
          <cell r="JZ30">
            <v>189.15</v>
          </cell>
          <cell r="KA30">
            <v>190.38</v>
          </cell>
          <cell r="KB30">
            <v>190.66</v>
          </cell>
          <cell r="KC30">
            <v>190.85</v>
          </cell>
          <cell r="KD30">
            <v>191.97</v>
          </cell>
          <cell r="KE30">
            <v>193.19</v>
          </cell>
          <cell r="KF30">
            <v>194.4</v>
          </cell>
          <cell r="KG30">
            <v>195.61</v>
          </cell>
          <cell r="KH30">
            <v>196.7</v>
          </cell>
          <cell r="KI30">
            <v>197.91</v>
          </cell>
          <cell r="KJ30">
            <v>199.07</v>
          </cell>
          <cell r="KK30">
            <v>200.28</v>
          </cell>
          <cell r="KL30">
            <v>201.51</v>
          </cell>
          <cell r="KM30">
            <v>202.72</v>
          </cell>
          <cell r="KN30">
            <v>203.95</v>
          </cell>
          <cell r="KO30">
            <v>205.09</v>
          </cell>
          <cell r="KP30">
            <v>205.59</v>
          </cell>
          <cell r="KQ30">
            <v>206.84</v>
          </cell>
          <cell r="KR30">
            <v>208.09</v>
          </cell>
          <cell r="KS30">
            <v>209.16</v>
          </cell>
          <cell r="KT30">
            <v>210.34</v>
          </cell>
          <cell r="KU30">
            <v>211.49</v>
          </cell>
          <cell r="KV30">
            <v>212.54</v>
          </cell>
          <cell r="KW30">
            <v>213.78</v>
          </cell>
          <cell r="KX30">
            <v>214.91</v>
          </cell>
          <cell r="KY30">
            <v>216.13</v>
          </cell>
          <cell r="KZ30">
            <v>217.29</v>
          </cell>
          <cell r="LA30">
            <v>218.43</v>
          </cell>
          <cell r="LB30">
            <v>219.51</v>
          </cell>
          <cell r="LC30">
            <v>220.53</v>
          </cell>
          <cell r="LD30">
            <v>221.71</v>
          </cell>
          <cell r="LE30">
            <v>222.88</v>
          </cell>
          <cell r="LF30">
            <v>224.07</v>
          </cell>
          <cell r="LG30">
            <v>225.27</v>
          </cell>
          <cell r="LH30">
            <v>226.13</v>
          </cell>
          <cell r="LI30">
            <v>227.33</v>
          </cell>
          <cell r="LJ30">
            <v>228.45</v>
          </cell>
          <cell r="LK30">
            <v>229.67</v>
          </cell>
          <cell r="LL30">
            <v>230.67</v>
          </cell>
          <cell r="LM30">
            <v>231.81</v>
          </cell>
          <cell r="LN30">
            <v>233</v>
          </cell>
          <cell r="LO30">
            <v>234.11</v>
          </cell>
          <cell r="LP30">
            <v>235.23</v>
          </cell>
          <cell r="LQ30">
            <v>236.41</v>
          </cell>
          <cell r="LR30">
            <v>237.6</v>
          </cell>
          <cell r="LS30">
            <v>238.63</v>
          </cell>
          <cell r="LT30">
            <v>240</v>
          </cell>
          <cell r="LU30">
            <v>241.18</v>
          </cell>
          <cell r="LV30">
            <v>242.38</v>
          </cell>
          <cell r="LW30">
            <v>243.59</v>
          </cell>
          <cell r="LX30">
            <v>244.89000000000001</v>
          </cell>
          <cell r="LY30">
            <v>245.92000000000002</v>
          </cell>
          <cell r="LZ30">
            <v>247</v>
          </cell>
          <cell r="MA30">
            <v>248.2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</row>
        <row r="31">
          <cell r="A31" t="str">
            <v>SD 13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6.4999999999999997E-3</v>
          </cell>
          <cell r="DL31">
            <v>0.86</v>
          </cell>
          <cell r="DM31">
            <v>2.0499999999999998</v>
          </cell>
          <cell r="DN31">
            <v>3.29</v>
          </cell>
          <cell r="DO31">
            <v>4.6100000000000003</v>
          </cell>
          <cell r="DP31">
            <v>5.88</v>
          </cell>
          <cell r="DQ31">
            <v>7.02</v>
          </cell>
          <cell r="DR31">
            <v>8.25</v>
          </cell>
          <cell r="DS31">
            <v>9.52</v>
          </cell>
          <cell r="DT31">
            <v>10.65</v>
          </cell>
          <cell r="DU31">
            <v>11.91</v>
          </cell>
          <cell r="DV31">
            <v>13.21</v>
          </cell>
          <cell r="DW31">
            <v>14.52</v>
          </cell>
          <cell r="DX31">
            <v>15.69</v>
          </cell>
          <cell r="DY31">
            <v>16.79</v>
          </cell>
          <cell r="DZ31">
            <v>17.48</v>
          </cell>
          <cell r="EA31">
            <v>18.63</v>
          </cell>
          <cell r="EB31">
            <v>19.899999999999999</v>
          </cell>
          <cell r="EC31">
            <v>21.18</v>
          </cell>
          <cell r="ED31">
            <v>22.55</v>
          </cell>
          <cell r="EE31">
            <v>25</v>
          </cell>
          <cell r="EF31">
            <v>26</v>
          </cell>
          <cell r="EG31">
            <v>23.56</v>
          </cell>
          <cell r="EH31">
            <v>24</v>
          </cell>
          <cell r="EI31">
            <v>27.91</v>
          </cell>
          <cell r="EJ31">
            <v>29.06</v>
          </cell>
          <cell r="EK31">
            <v>30.17</v>
          </cell>
          <cell r="EL31">
            <v>31.11</v>
          </cell>
          <cell r="EM31">
            <v>32.369999999999997</v>
          </cell>
          <cell r="EN31">
            <v>33.549999999999997</v>
          </cell>
          <cell r="EO31">
            <v>34.76</v>
          </cell>
          <cell r="EP31">
            <v>35.96</v>
          </cell>
          <cell r="EQ31">
            <v>37.229999999999997</v>
          </cell>
          <cell r="ER31">
            <v>38.479999999999997</v>
          </cell>
          <cell r="ES31">
            <v>39.51</v>
          </cell>
          <cell r="ET31">
            <v>40.76</v>
          </cell>
          <cell r="EU31">
            <v>42</v>
          </cell>
          <cell r="EV31">
            <v>43.19</v>
          </cell>
          <cell r="EW31">
            <v>44.57</v>
          </cell>
          <cell r="EX31">
            <v>45.85</v>
          </cell>
          <cell r="EY31">
            <v>46.33</v>
          </cell>
          <cell r="EZ31">
            <v>46.53</v>
          </cell>
          <cell r="FA31">
            <v>47.75</v>
          </cell>
          <cell r="FB31">
            <v>48.95</v>
          </cell>
          <cell r="FC31">
            <v>50.12</v>
          </cell>
          <cell r="FD31">
            <v>51.31</v>
          </cell>
          <cell r="FE31">
            <v>52.44</v>
          </cell>
          <cell r="FF31">
            <v>52.92</v>
          </cell>
          <cell r="FG31">
            <v>53.13</v>
          </cell>
          <cell r="FH31">
            <v>54.27</v>
          </cell>
          <cell r="FI31">
            <v>55.45</v>
          </cell>
          <cell r="FJ31">
            <v>56.6</v>
          </cell>
          <cell r="FK31">
            <v>57.83</v>
          </cell>
          <cell r="FL31">
            <v>58.36</v>
          </cell>
          <cell r="FM31">
            <v>58.52</v>
          </cell>
          <cell r="FN31">
            <v>58.63</v>
          </cell>
          <cell r="FO31">
            <v>59.86</v>
          </cell>
          <cell r="FP31">
            <v>61.01</v>
          </cell>
          <cell r="FQ31">
            <v>62.23</v>
          </cell>
          <cell r="FR31">
            <v>63.43</v>
          </cell>
          <cell r="FS31">
            <v>63.76</v>
          </cell>
          <cell r="FT31">
            <v>63.95</v>
          </cell>
          <cell r="FU31">
            <v>64.14</v>
          </cell>
          <cell r="FV31">
            <v>65.37</v>
          </cell>
          <cell r="FW31">
            <v>66.569999999999993</v>
          </cell>
          <cell r="FX31">
            <v>67.75</v>
          </cell>
          <cell r="FY31">
            <v>68.709999999999994</v>
          </cell>
          <cell r="FZ31">
            <v>68.92</v>
          </cell>
          <cell r="GA31">
            <v>69.12</v>
          </cell>
          <cell r="GB31">
            <v>69.33</v>
          </cell>
          <cell r="GC31">
            <v>70.56</v>
          </cell>
          <cell r="GD31">
            <v>71.81</v>
          </cell>
          <cell r="GE31">
            <v>73.05</v>
          </cell>
          <cell r="GF31">
            <v>74.290000000000006</v>
          </cell>
          <cell r="GG31">
            <v>74.62</v>
          </cell>
          <cell r="GH31">
            <v>74.819999999999993</v>
          </cell>
          <cell r="GI31">
            <v>74.97</v>
          </cell>
          <cell r="GJ31">
            <v>76.25</v>
          </cell>
          <cell r="GK31">
            <v>77.510000000000005</v>
          </cell>
          <cell r="GL31">
            <v>78.78</v>
          </cell>
          <cell r="GM31">
            <v>80.02</v>
          </cell>
          <cell r="GN31">
            <v>81.33</v>
          </cell>
          <cell r="GO31">
            <v>82.7</v>
          </cell>
          <cell r="GP31">
            <v>83.93</v>
          </cell>
          <cell r="GQ31">
            <v>85.23</v>
          </cell>
          <cell r="GR31">
            <v>86.52</v>
          </cell>
          <cell r="GS31">
            <v>87.71</v>
          </cell>
          <cell r="GT31">
            <v>89.02</v>
          </cell>
          <cell r="GU31">
            <v>90.35</v>
          </cell>
          <cell r="GV31">
            <v>91.67</v>
          </cell>
          <cell r="GW31">
            <v>92.64</v>
          </cell>
          <cell r="GX31">
            <v>93.96</v>
          </cell>
          <cell r="GY31">
            <v>95.29</v>
          </cell>
          <cell r="GZ31">
            <v>96.42</v>
          </cell>
          <cell r="HA31">
            <v>97.62</v>
          </cell>
          <cell r="HB31">
            <v>98.92</v>
          </cell>
          <cell r="HC31">
            <v>100.27</v>
          </cell>
          <cell r="HD31">
            <v>101.42</v>
          </cell>
          <cell r="HE31">
            <v>102.66</v>
          </cell>
          <cell r="HF31">
            <v>103.9</v>
          </cell>
          <cell r="HG31">
            <v>104.99</v>
          </cell>
          <cell r="HH31">
            <v>106.33</v>
          </cell>
          <cell r="HI31">
            <v>107.54</v>
          </cell>
          <cell r="HJ31">
            <v>108.82</v>
          </cell>
          <cell r="HK31">
            <v>110</v>
          </cell>
          <cell r="HL31">
            <v>111.19</v>
          </cell>
          <cell r="HM31">
            <v>112.46</v>
          </cell>
          <cell r="HN31">
            <v>113.72</v>
          </cell>
          <cell r="HO31">
            <v>114.51</v>
          </cell>
          <cell r="HP31">
            <v>115.85</v>
          </cell>
          <cell r="HQ31">
            <v>116.92</v>
          </cell>
          <cell r="HR31">
            <v>118.2</v>
          </cell>
          <cell r="HS31">
            <v>119.48</v>
          </cell>
          <cell r="HT31">
            <v>120.75</v>
          </cell>
          <cell r="HU31">
            <v>121.96</v>
          </cell>
          <cell r="HV31">
            <v>123.24</v>
          </cell>
          <cell r="HW31">
            <v>124.55</v>
          </cell>
          <cell r="HX31">
            <v>125.91</v>
          </cell>
          <cell r="HY31">
            <v>127.1</v>
          </cell>
          <cell r="HZ31">
            <v>128.30000000000001</v>
          </cell>
          <cell r="IA31">
            <v>129.6</v>
          </cell>
          <cell r="IB31">
            <v>130.83000000000001</v>
          </cell>
          <cell r="IC31">
            <v>131.24</v>
          </cell>
          <cell r="ID31">
            <v>132.53</v>
          </cell>
          <cell r="IE31">
            <v>133.69</v>
          </cell>
          <cell r="IF31">
            <v>134.9</v>
          </cell>
          <cell r="IG31">
            <v>136.09</v>
          </cell>
          <cell r="IH31">
            <v>137.32</v>
          </cell>
          <cell r="II31">
            <v>138.44999999999999</v>
          </cell>
          <cell r="IJ31">
            <v>139.72999999999999</v>
          </cell>
          <cell r="IK31">
            <v>141.01</v>
          </cell>
          <cell r="IL31">
            <v>142.32</v>
          </cell>
          <cell r="IM31">
            <v>143.56</v>
          </cell>
          <cell r="IN31">
            <v>144.91</v>
          </cell>
          <cell r="IO31">
            <v>146.16999999999999</v>
          </cell>
          <cell r="IP31">
            <v>146.63</v>
          </cell>
          <cell r="IQ31">
            <v>147.72999999999999</v>
          </cell>
          <cell r="IR31">
            <v>148.93</v>
          </cell>
          <cell r="IS31">
            <v>150.35</v>
          </cell>
          <cell r="IT31">
            <v>151.44999999999999</v>
          </cell>
          <cell r="IU31">
            <v>152.63999999999999</v>
          </cell>
          <cell r="IV31">
            <v>154</v>
          </cell>
          <cell r="IW31">
            <v>155.16</v>
          </cell>
          <cell r="IX31">
            <v>156.49</v>
          </cell>
          <cell r="IY31">
            <v>157.97</v>
          </cell>
          <cell r="IZ31">
            <v>159.11000000000001</v>
          </cell>
          <cell r="JA31">
            <v>160.27000000000001</v>
          </cell>
          <cell r="JB31">
            <v>161.18</v>
          </cell>
          <cell r="JC31">
            <v>162.41</v>
          </cell>
          <cell r="JD31">
            <v>163.16999999999999</v>
          </cell>
          <cell r="JE31">
            <v>164.46</v>
          </cell>
          <cell r="JF31">
            <v>165.8</v>
          </cell>
          <cell r="JG31">
            <v>167.14</v>
          </cell>
          <cell r="JH31">
            <v>168.4</v>
          </cell>
          <cell r="JI31">
            <v>169.72</v>
          </cell>
          <cell r="JJ31">
            <v>170.95</v>
          </cell>
          <cell r="JK31">
            <v>172.17</v>
          </cell>
          <cell r="JL31">
            <v>173.37</v>
          </cell>
          <cell r="JM31">
            <v>174.52</v>
          </cell>
          <cell r="JN31">
            <v>175.82000000000002</v>
          </cell>
          <cell r="JO31">
            <v>177.06</v>
          </cell>
          <cell r="JP31">
            <v>178.29</v>
          </cell>
          <cell r="JQ31">
            <v>179.58</v>
          </cell>
          <cell r="JR31">
            <v>180.68</v>
          </cell>
          <cell r="JS31">
            <v>181.97</v>
          </cell>
          <cell r="JT31">
            <v>183.29</v>
          </cell>
          <cell r="JU31">
            <v>184.54</v>
          </cell>
          <cell r="JV31">
            <v>185.59</v>
          </cell>
          <cell r="JW31">
            <v>186.41</v>
          </cell>
          <cell r="JX31">
            <v>187.71</v>
          </cell>
          <cell r="JY31">
            <v>188.98</v>
          </cell>
          <cell r="JZ31">
            <v>190.24</v>
          </cell>
          <cell r="KA31">
            <v>191.58</v>
          </cell>
          <cell r="KB31">
            <v>191.81</v>
          </cell>
          <cell r="KC31">
            <v>191.96</v>
          </cell>
          <cell r="KD31">
            <v>193.16</v>
          </cell>
          <cell r="KE31">
            <v>194.5</v>
          </cell>
          <cell r="KF31">
            <v>195.7</v>
          </cell>
          <cell r="KG31">
            <v>196.88</v>
          </cell>
          <cell r="KH31">
            <v>198.02</v>
          </cell>
          <cell r="KI31">
            <v>199.36</v>
          </cell>
          <cell r="KJ31">
            <v>200.67</v>
          </cell>
          <cell r="KK31">
            <v>202.08</v>
          </cell>
          <cell r="KL31">
            <v>203.28</v>
          </cell>
          <cell r="KM31">
            <v>204.45</v>
          </cell>
          <cell r="KN31">
            <v>205.39</v>
          </cell>
          <cell r="KO31">
            <v>206.71</v>
          </cell>
          <cell r="KP31">
            <v>207.01000000000002</v>
          </cell>
          <cell r="KQ31">
            <v>208.7</v>
          </cell>
          <cell r="KR31">
            <v>209.94</v>
          </cell>
          <cell r="KS31">
            <v>211.23</v>
          </cell>
          <cell r="KT31">
            <v>212.03</v>
          </cell>
          <cell r="KU31">
            <v>213.29</v>
          </cell>
          <cell r="KV31">
            <v>214.49</v>
          </cell>
          <cell r="KW31">
            <v>215.7</v>
          </cell>
          <cell r="KX31">
            <v>216.91</v>
          </cell>
          <cell r="KY31">
            <v>218.15</v>
          </cell>
          <cell r="KZ31">
            <v>219.39</v>
          </cell>
          <cell r="LA31">
            <v>220.52</v>
          </cell>
          <cell r="LB31">
            <v>221.74</v>
          </cell>
          <cell r="LC31">
            <v>223.01</v>
          </cell>
          <cell r="LD31">
            <v>224.3</v>
          </cell>
          <cell r="LE31">
            <v>225.58</v>
          </cell>
          <cell r="LF31">
            <v>226.88</v>
          </cell>
          <cell r="LG31">
            <v>228.17</v>
          </cell>
          <cell r="LH31">
            <v>229.39</v>
          </cell>
          <cell r="LI31">
            <v>230.69</v>
          </cell>
          <cell r="LJ31">
            <v>232.01</v>
          </cell>
          <cell r="LK31">
            <v>233.32</v>
          </cell>
          <cell r="LL31">
            <v>234.6</v>
          </cell>
          <cell r="LM31">
            <v>235.88</v>
          </cell>
          <cell r="LN31">
            <v>237.09</v>
          </cell>
          <cell r="LO31">
            <v>238.29</v>
          </cell>
          <cell r="LP31">
            <v>239.47</v>
          </cell>
          <cell r="LQ31">
            <v>240.78</v>
          </cell>
          <cell r="LR31">
            <v>242.04</v>
          </cell>
          <cell r="LS31">
            <v>243.34</v>
          </cell>
          <cell r="LT31">
            <v>244.4</v>
          </cell>
          <cell r="LU31">
            <v>245.65</v>
          </cell>
          <cell r="LV31">
            <v>246.72</v>
          </cell>
          <cell r="LW31">
            <v>247.95</v>
          </cell>
          <cell r="LX31">
            <v>249.35999999999999</v>
          </cell>
          <cell r="LY31">
            <v>250.55999999999997</v>
          </cell>
          <cell r="LZ31">
            <v>251.75</v>
          </cell>
          <cell r="MA31">
            <v>253.05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</row>
        <row r="32">
          <cell r="A32" t="str">
            <v>SD 17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20</v>
          </cell>
          <cell r="FV32">
            <v>28</v>
          </cell>
          <cell r="FW32">
            <v>35.75</v>
          </cell>
          <cell r="FX32">
            <v>43.2</v>
          </cell>
          <cell r="FY32">
            <v>55.14</v>
          </cell>
          <cell r="FZ32">
            <v>63</v>
          </cell>
          <cell r="GA32">
            <v>70.489999999999995</v>
          </cell>
          <cell r="GB32">
            <v>78.11</v>
          </cell>
          <cell r="GC32">
            <v>85.76</v>
          </cell>
          <cell r="GD32">
            <v>95.93</v>
          </cell>
          <cell r="GE32">
            <v>111.21</v>
          </cell>
          <cell r="GF32">
            <v>129.71</v>
          </cell>
          <cell r="GG32">
            <v>153.44</v>
          </cell>
          <cell r="GH32">
            <v>161.94999999999999</v>
          </cell>
          <cell r="GI32">
            <v>168</v>
          </cell>
          <cell r="GJ32">
            <v>176.03</v>
          </cell>
          <cell r="GK32">
            <v>183.61</v>
          </cell>
          <cell r="GL32">
            <v>191</v>
          </cell>
          <cell r="GM32">
            <v>203</v>
          </cell>
          <cell r="GN32">
            <v>211</v>
          </cell>
          <cell r="GO32">
            <v>219</v>
          </cell>
          <cell r="GP32">
            <v>227</v>
          </cell>
          <cell r="GQ32">
            <v>234</v>
          </cell>
          <cell r="GR32">
            <v>242</v>
          </cell>
          <cell r="GS32">
            <v>250</v>
          </cell>
          <cell r="GT32">
            <v>258</v>
          </cell>
          <cell r="GU32">
            <v>265.45999999999998</v>
          </cell>
          <cell r="GV32">
            <v>273.35000000000002</v>
          </cell>
          <cell r="GW32">
            <v>280.22000000000003</v>
          </cell>
          <cell r="GX32">
            <v>288.08</v>
          </cell>
          <cell r="GY32">
            <v>295</v>
          </cell>
          <cell r="GZ32">
            <v>303.98</v>
          </cell>
          <cell r="HA32">
            <v>311</v>
          </cell>
          <cell r="HB32">
            <v>319</v>
          </cell>
          <cell r="HC32">
            <v>327</v>
          </cell>
          <cell r="HD32">
            <v>334</v>
          </cell>
          <cell r="HE32">
            <v>342</v>
          </cell>
          <cell r="HF32">
            <v>349</v>
          </cell>
          <cell r="HG32">
            <v>359</v>
          </cell>
          <cell r="HH32">
            <v>368</v>
          </cell>
          <cell r="HI32">
            <v>375</v>
          </cell>
          <cell r="HJ32">
            <v>383</v>
          </cell>
          <cell r="HK32">
            <v>390</v>
          </cell>
          <cell r="HL32">
            <v>399</v>
          </cell>
          <cell r="HM32">
            <v>407</v>
          </cell>
          <cell r="HN32">
            <v>415</v>
          </cell>
          <cell r="HO32">
            <v>425</v>
          </cell>
          <cell r="HP32">
            <v>437</v>
          </cell>
          <cell r="HQ32">
            <v>446</v>
          </cell>
          <cell r="HR32">
            <v>455</v>
          </cell>
          <cell r="HS32">
            <v>465</v>
          </cell>
          <cell r="HT32">
            <v>476</v>
          </cell>
          <cell r="HU32">
            <v>486</v>
          </cell>
          <cell r="HV32">
            <v>498</v>
          </cell>
          <cell r="HW32">
            <v>508</v>
          </cell>
          <cell r="HX32">
            <v>519</v>
          </cell>
          <cell r="HY32">
            <v>528</v>
          </cell>
          <cell r="HZ32">
            <v>538.78</v>
          </cell>
          <cell r="IA32">
            <v>557</v>
          </cell>
          <cell r="IB32">
            <v>557</v>
          </cell>
          <cell r="IC32">
            <v>587</v>
          </cell>
          <cell r="ID32">
            <v>595</v>
          </cell>
          <cell r="IE32">
            <v>604</v>
          </cell>
          <cell r="IF32">
            <v>612</v>
          </cell>
          <cell r="IG32">
            <v>621</v>
          </cell>
          <cell r="IH32">
            <v>630</v>
          </cell>
          <cell r="II32">
            <v>644</v>
          </cell>
          <cell r="IJ32">
            <v>652</v>
          </cell>
          <cell r="IK32">
            <v>0.66</v>
          </cell>
          <cell r="IL32">
            <v>669</v>
          </cell>
          <cell r="IM32">
            <v>678</v>
          </cell>
          <cell r="IN32">
            <v>0.73299999999999998</v>
          </cell>
          <cell r="IO32">
            <v>0.84599999999999997</v>
          </cell>
          <cell r="IP32">
            <v>0.99</v>
          </cell>
          <cell r="IQ32">
            <v>1.0900000000000001</v>
          </cell>
          <cell r="IR32">
            <v>1.24</v>
          </cell>
          <cell r="IS32">
            <v>1.4</v>
          </cell>
          <cell r="IT32">
            <v>1.53</v>
          </cell>
          <cell r="IU32">
            <v>1.68</v>
          </cell>
          <cell r="IV32">
            <v>1.82</v>
          </cell>
          <cell r="IW32">
            <v>1.93</v>
          </cell>
          <cell r="IX32">
            <v>2.09</v>
          </cell>
          <cell r="IY32">
            <v>2.25</v>
          </cell>
          <cell r="IZ32">
            <v>2.38</v>
          </cell>
          <cell r="JA32">
            <v>2.5099999999999998</v>
          </cell>
          <cell r="JB32">
            <v>2.65</v>
          </cell>
          <cell r="JC32">
            <v>2.88</v>
          </cell>
          <cell r="JD32">
            <v>3.28</v>
          </cell>
          <cell r="JE32">
            <v>3.82</v>
          </cell>
          <cell r="JF32">
            <v>4.41</v>
          </cell>
          <cell r="JG32">
            <v>4.59</v>
          </cell>
          <cell r="JH32">
            <v>4.76</v>
          </cell>
          <cell r="JI32">
            <v>5.45</v>
          </cell>
          <cell r="JJ32">
            <v>5.96</v>
          </cell>
          <cell r="JK32">
            <v>6.48</v>
          </cell>
          <cell r="JL32">
            <v>7.08</v>
          </cell>
          <cell r="JM32">
            <v>7.78</v>
          </cell>
          <cell r="JN32">
            <v>7.96</v>
          </cell>
          <cell r="JO32">
            <v>814</v>
          </cell>
          <cell r="JP32">
            <v>9.1999999999999993</v>
          </cell>
          <cell r="JQ32">
            <v>10.26</v>
          </cell>
          <cell r="JR32">
            <v>11.44</v>
          </cell>
          <cell r="JS32">
            <v>12.67</v>
          </cell>
          <cell r="JT32">
            <v>13.95</v>
          </cell>
          <cell r="JU32">
            <v>15.18</v>
          </cell>
          <cell r="JV32">
            <v>16.32</v>
          </cell>
          <cell r="JW32">
            <v>17.59</v>
          </cell>
          <cell r="JX32">
            <v>18.66</v>
          </cell>
          <cell r="JY32">
            <v>19.760000000000002</v>
          </cell>
          <cell r="JZ32">
            <v>20.96</v>
          </cell>
          <cell r="KA32">
            <v>22.18</v>
          </cell>
          <cell r="KB32">
            <v>22.4</v>
          </cell>
          <cell r="KC32">
            <v>22.55</v>
          </cell>
          <cell r="KD32">
            <v>23.48</v>
          </cell>
          <cell r="KE32">
            <v>24.69</v>
          </cell>
          <cell r="KF32">
            <v>25.86</v>
          </cell>
          <cell r="KG32">
            <v>26.04</v>
          </cell>
          <cell r="KH32">
            <v>27.5</v>
          </cell>
          <cell r="KI32">
            <v>29.24</v>
          </cell>
          <cell r="KJ32">
            <v>30.35</v>
          </cell>
          <cell r="KK32">
            <v>31.64</v>
          </cell>
          <cell r="KL32">
            <v>32.619999999999997</v>
          </cell>
          <cell r="KM32">
            <v>33.83</v>
          </cell>
          <cell r="KN32">
            <v>35.01</v>
          </cell>
          <cell r="KO32">
            <v>36.17</v>
          </cell>
          <cell r="KP32">
            <v>36.57</v>
          </cell>
          <cell r="KQ32">
            <v>38.11</v>
          </cell>
          <cell r="KR32">
            <v>39.35</v>
          </cell>
          <cell r="KS32">
            <v>40.42</v>
          </cell>
          <cell r="KT32">
            <v>41.64</v>
          </cell>
          <cell r="KU32">
            <v>42.72</v>
          </cell>
          <cell r="KV32">
            <v>43.92</v>
          </cell>
          <cell r="KW32">
            <v>45.26</v>
          </cell>
          <cell r="KX32">
            <v>46.42</v>
          </cell>
          <cell r="KY32">
            <v>47.6</v>
          </cell>
          <cell r="KZ32">
            <v>48.8</v>
          </cell>
          <cell r="LA32">
            <v>49.4</v>
          </cell>
          <cell r="LB32">
            <v>50.61</v>
          </cell>
          <cell r="LC32">
            <v>51.66</v>
          </cell>
          <cell r="LD32">
            <v>52.84</v>
          </cell>
          <cell r="LE32">
            <v>54.04</v>
          </cell>
          <cell r="LF32">
            <v>55.24</v>
          </cell>
          <cell r="LG32">
            <v>56.35</v>
          </cell>
          <cell r="LH32">
            <v>57.67</v>
          </cell>
          <cell r="LI32">
            <v>58.94</v>
          </cell>
          <cell r="LJ32">
            <v>60.19</v>
          </cell>
          <cell r="LK32">
            <v>61.42</v>
          </cell>
          <cell r="LL32">
            <v>62.57</v>
          </cell>
          <cell r="LM32">
            <v>63.5</v>
          </cell>
          <cell r="LN32">
            <v>64.05</v>
          </cell>
          <cell r="LO32">
            <v>65.319999999999993</v>
          </cell>
          <cell r="LP32">
            <v>66.53</v>
          </cell>
          <cell r="LQ32">
            <v>67.849999999999994</v>
          </cell>
          <cell r="LR32">
            <v>69.11</v>
          </cell>
          <cell r="LS32">
            <v>70.31</v>
          </cell>
          <cell r="LT32">
            <v>71.55</v>
          </cell>
          <cell r="LU32">
            <v>72.67</v>
          </cell>
          <cell r="LV32">
            <v>73.87</v>
          </cell>
          <cell r="LW32">
            <v>75.08</v>
          </cell>
          <cell r="LX32">
            <v>76.17</v>
          </cell>
          <cell r="LY32">
            <v>77.070000000000007</v>
          </cell>
          <cell r="LZ32">
            <v>78.06</v>
          </cell>
          <cell r="MA32">
            <v>79.28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</row>
        <row r="33">
          <cell r="A33" t="str">
            <v>SD 5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0.42699999999999999</v>
          </cell>
          <cell r="FV33">
            <v>0.58699999999999997</v>
          </cell>
          <cell r="FW33">
            <v>0.97799999999999998</v>
          </cell>
          <cell r="FX33">
            <v>1.47</v>
          </cell>
          <cell r="FY33">
            <v>1.88</v>
          </cell>
          <cell r="FZ33">
            <v>2.41</v>
          </cell>
          <cell r="GA33">
            <v>2.75</v>
          </cell>
          <cell r="GB33">
            <v>3.07</v>
          </cell>
          <cell r="GC33">
            <v>3.22</v>
          </cell>
          <cell r="GD33">
            <v>3.39</v>
          </cell>
          <cell r="GE33">
            <v>3.71</v>
          </cell>
          <cell r="GF33">
            <v>4.17</v>
          </cell>
          <cell r="GG33">
            <v>4.62</v>
          </cell>
          <cell r="GH33">
            <v>4.8</v>
          </cell>
          <cell r="GI33">
            <v>4.93</v>
          </cell>
          <cell r="GJ33">
            <v>5.08</v>
          </cell>
          <cell r="GK33">
            <v>5.22</v>
          </cell>
          <cell r="GL33">
            <v>5.37</v>
          </cell>
          <cell r="GM33">
            <v>5.52</v>
          </cell>
          <cell r="GN33">
            <v>5.66</v>
          </cell>
          <cell r="GO33">
            <v>5.82</v>
          </cell>
          <cell r="GP33">
            <v>5.97</v>
          </cell>
          <cell r="GQ33">
            <v>6.57</v>
          </cell>
          <cell r="GR33">
            <v>7.04</v>
          </cell>
          <cell r="GS33">
            <v>7.62</v>
          </cell>
          <cell r="GT33">
            <v>8.11</v>
          </cell>
          <cell r="GU33">
            <v>8.4600000000000009</v>
          </cell>
          <cell r="GV33">
            <v>8.6199999999999992</v>
          </cell>
          <cell r="GW33">
            <v>8.76</v>
          </cell>
          <cell r="GX33">
            <v>8.93</v>
          </cell>
          <cell r="GY33">
            <v>9.42</v>
          </cell>
          <cell r="GZ33">
            <v>9.8000000000000007</v>
          </cell>
          <cell r="HA33">
            <v>10.27</v>
          </cell>
          <cell r="HB33">
            <v>10.75</v>
          </cell>
          <cell r="HC33">
            <v>10.92</v>
          </cell>
          <cell r="HD33">
            <v>11.06</v>
          </cell>
          <cell r="HE33">
            <v>11.6</v>
          </cell>
          <cell r="HF33">
            <v>12.07</v>
          </cell>
          <cell r="HG33">
            <v>12.55</v>
          </cell>
          <cell r="HH33">
            <v>12.98</v>
          </cell>
          <cell r="HI33">
            <v>13.34</v>
          </cell>
          <cell r="HJ33">
            <v>13.53</v>
          </cell>
          <cell r="HK33">
            <v>13.68</v>
          </cell>
          <cell r="HL33">
            <v>14.42</v>
          </cell>
          <cell r="HM33">
            <v>15.19</v>
          </cell>
          <cell r="HN33">
            <v>16.02</v>
          </cell>
          <cell r="HO33">
            <v>16.84</v>
          </cell>
          <cell r="HP33">
            <v>17.12</v>
          </cell>
          <cell r="HQ33">
            <v>17.28</v>
          </cell>
          <cell r="HR33">
            <v>17.45</v>
          </cell>
          <cell r="HS33">
            <v>17.63</v>
          </cell>
          <cell r="HT33">
            <v>18.13</v>
          </cell>
          <cell r="HU33">
            <v>18.670000000000002</v>
          </cell>
          <cell r="HV33">
            <v>19.2</v>
          </cell>
          <cell r="HW33">
            <v>19.5</v>
          </cell>
          <cell r="HX33">
            <v>19.690000000000001</v>
          </cell>
          <cell r="HY33">
            <v>19.84</v>
          </cell>
          <cell r="HZ33">
            <v>20.440000000000001</v>
          </cell>
          <cell r="IA33">
            <v>21.02</v>
          </cell>
          <cell r="IB33">
            <v>21.54</v>
          </cell>
          <cell r="IC33">
            <v>21.57</v>
          </cell>
          <cell r="ID33">
            <v>21.73</v>
          </cell>
          <cell r="IE33">
            <v>21.89</v>
          </cell>
          <cell r="IF33">
            <v>22.05</v>
          </cell>
          <cell r="IG33">
            <v>22.22</v>
          </cell>
          <cell r="IH33">
            <v>22.46</v>
          </cell>
          <cell r="II33">
            <v>22.71</v>
          </cell>
          <cell r="IJ33">
            <v>22.89</v>
          </cell>
          <cell r="IK33">
            <v>23.06</v>
          </cell>
          <cell r="IL33">
            <v>23.24</v>
          </cell>
          <cell r="IM33">
            <v>23.4</v>
          </cell>
          <cell r="IN33">
            <v>23.97</v>
          </cell>
          <cell r="IO33">
            <v>24.47</v>
          </cell>
          <cell r="IP33">
            <v>24.69</v>
          </cell>
          <cell r="IQ33">
            <v>24.94</v>
          </cell>
          <cell r="IR33">
            <v>25.12</v>
          </cell>
          <cell r="IS33">
            <v>25.31</v>
          </cell>
          <cell r="IT33">
            <v>25.47</v>
          </cell>
          <cell r="IU33">
            <v>25.65</v>
          </cell>
          <cell r="IV33">
            <v>26.02</v>
          </cell>
          <cell r="IW33">
            <v>26.43</v>
          </cell>
          <cell r="IX33">
            <v>26.55</v>
          </cell>
          <cell r="IY33">
            <v>26.65</v>
          </cell>
          <cell r="IZ33">
            <v>26.77</v>
          </cell>
          <cell r="JA33">
            <v>26.85</v>
          </cell>
          <cell r="JB33">
            <v>26.95</v>
          </cell>
          <cell r="JC33">
            <v>27.09</v>
          </cell>
          <cell r="JD33">
            <v>27.38</v>
          </cell>
          <cell r="JE33">
            <v>27.66</v>
          </cell>
          <cell r="JF33">
            <v>27.94</v>
          </cell>
          <cell r="JG33">
            <v>28.1</v>
          </cell>
          <cell r="JH33">
            <v>28.24</v>
          </cell>
          <cell r="JI33">
            <v>28.4</v>
          </cell>
          <cell r="JJ33">
            <v>28.56</v>
          </cell>
          <cell r="JK33">
            <v>28.71</v>
          </cell>
          <cell r="JL33">
            <v>28.86</v>
          </cell>
          <cell r="JM33">
            <v>29.01</v>
          </cell>
          <cell r="JN33">
            <v>29.17</v>
          </cell>
          <cell r="JO33">
            <v>29.3</v>
          </cell>
          <cell r="JP33">
            <v>29.46</v>
          </cell>
          <cell r="JQ33">
            <v>29.84</v>
          </cell>
          <cell r="JR33">
            <v>30.37</v>
          </cell>
          <cell r="JS33">
            <v>30.94</v>
          </cell>
          <cell r="JT33">
            <v>31.3</v>
          </cell>
          <cell r="JU33">
            <v>31.47</v>
          </cell>
          <cell r="JV33">
            <v>31.62</v>
          </cell>
          <cell r="JW33">
            <v>31.79</v>
          </cell>
          <cell r="JX33">
            <v>31.97</v>
          </cell>
          <cell r="JY33">
            <v>32.880000000000003</v>
          </cell>
          <cell r="JZ33">
            <v>33.75</v>
          </cell>
          <cell r="KA33">
            <v>34.08</v>
          </cell>
          <cell r="KB33">
            <v>34.26</v>
          </cell>
          <cell r="KC33">
            <v>34.4</v>
          </cell>
          <cell r="KD33">
            <v>35.270000000000003</v>
          </cell>
          <cell r="KE33">
            <v>36.200000000000003</v>
          </cell>
          <cell r="KF33">
            <v>37.1</v>
          </cell>
          <cell r="KG33">
            <v>37.99</v>
          </cell>
          <cell r="KH33">
            <v>38.700000000000003</v>
          </cell>
          <cell r="KI33">
            <v>38.79</v>
          </cell>
          <cell r="KJ33">
            <v>38.94</v>
          </cell>
          <cell r="KK33">
            <v>39.78</v>
          </cell>
          <cell r="KL33">
            <v>40.68</v>
          </cell>
          <cell r="KM33">
            <v>41.67</v>
          </cell>
          <cell r="KN33">
            <v>42.59</v>
          </cell>
          <cell r="KO33">
            <v>42.86</v>
          </cell>
          <cell r="KP33">
            <v>42.9</v>
          </cell>
          <cell r="KQ33">
            <v>43</v>
          </cell>
          <cell r="KR33">
            <v>43.16</v>
          </cell>
          <cell r="KS33">
            <v>43.56</v>
          </cell>
          <cell r="KT33">
            <v>44.15</v>
          </cell>
          <cell r="KU33">
            <v>44.74</v>
          </cell>
          <cell r="KV33">
            <v>45.07</v>
          </cell>
          <cell r="KW33">
            <v>45.24</v>
          </cell>
          <cell r="KX33">
            <v>45.4</v>
          </cell>
          <cell r="KY33">
            <v>46.36</v>
          </cell>
          <cell r="KZ33">
            <v>47.38</v>
          </cell>
          <cell r="LA33">
            <v>48.36</v>
          </cell>
          <cell r="LB33">
            <v>48.77</v>
          </cell>
          <cell r="LC33">
            <v>48.95</v>
          </cell>
          <cell r="LD33">
            <v>49.12</v>
          </cell>
          <cell r="LE33">
            <v>49.28</v>
          </cell>
          <cell r="LF33">
            <v>49.93</v>
          </cell>
          <cell r="LG33">
            <v>50.76</v>
          </cell>
          <cell r="LH33">
            <v>50.94</v>
          </cell>
          <cell r="LI33">
            <v>51.1</v>
          </cell>
          <cell r="LJ33">
            <v>51.52</v>
          </cell>
          <cell r="LK33">
            <v>51.71</v>
          </cell>
          <cell r="LL33">
            <v>51.9</v>
          </cell>
          <cell r="LM33">
            <v>52.08</v>
          </cell>
          <cell r="LN33">
            <v>52.98</v>
          </cell>
          <cell r="LO33">
            <v>54.02</v>
          </cell>
          <cell r="LP33">
            <v>54.94</v>
          </cell>
          <cell r="LQ33">
            <v>55.37</v>
          </cell>
          <cell r="LR33">
            <v>55.53</v>
          </cell>
          <cell r="LS33">
            <v>55.71</v>
          </cell>
          <cell r="LT33">
            <v>55.9</v>
          </cell>
          <cell r="LU33">
            <v>56.49</v>
          </cell>
          <cell r="LV33">
            <v>56.83</v>
          </cell>
          <cell r="LW33">
            <v>57.21</v>
          </cell>
          <cell r="LX33">
            <v>57.57</v>
          </cell>
          <cell r="LY33">
            <v>57.8</v>
          </cell>
          <cell r="LZ33">
            <v>57.94</v>
          </cell>
          <cell r="MA33">
            <v>58.5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</row>
        <row r="34">
          <cell r="A34" t="str">
            <v>SD 6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0.85</v>
          </cell>
          <cell r="DM34">
            <v>1.83</v>
          </cell>
          <cell r="DN34">
            <v>2.88</v>
          </cell>
          <cell r="DO34">
            <v>3.86</v>
          </cell>
          <cell r="DP34">
            <v>4.25</v>
          </cell>
          <cell r="DQ34">
            <v>4.38</v>
          </cell>
          <cell r="DR34">
            <v>5.47</v>
          </cell>
          <cell r="DS34">
            <v>6.36</v>
          </cell>
          <cell r="DT34">
            <v>6.55</v>
          </cell>
          <cell r="DU34">
            <v>7.61</v>
          </cell>
          <cell r="DV34">
            <v>8.41</v>
          </cell>
          <cell r="DW34">
            <v>8.59</v>
          </cell>
          <cell r="DX34">
            <v>8.73</v>
          </cell>
          <cell r="DY34">
            <v>8.89</v>
          </cell>
          <cell r="DZ34">
            <v>9.4700000000000006</v>
          </cell>
          <cell r="EA34">
            <v>10.34</v>
          </cell>
          <cell r="EB34">
            <v>11.28</v>
          </cell>
          <cell r="EC34">
            <v>12.27</v>
          </cell>
          <cell r="ED34">
            <v>12.94</v>
          </cell>
          <cell r="EE34">
            <v>15</v>
          </cell>
          <cell r="EF34">
            <v>16</v>
          </cell>
          <cell r="EG34">
            <v>13.15</v>
          </cell>
          <cell r="EH34">
            <v>14</v>
          </cell>
          <cell r="EI34">
            <v>16.96</v>
          </cell>
          <cell r="EJ34">
            <v>20.38</v>
          </cell>
          <cell r="EK34">
            <v>21.4</v>
          </cell>
          <cell r="EL34">
            <v>18.12</v>
          </cell>
          <cell r="EM34">
            <v>19.149999999999999</v>
          </cell>
          <cell r="EN34">
            <v>20.21</v>
          </cell>
          <cell r="EO34">
            <v>21.23</v>
          </cell>
          <cell r="EP34">
            <v>22.24</v>
          </cell>
          <cell r="EQ34">
            <v>23.33</v>
          </cell>
          <cell r="ER34">
            <v>27.71</v>
          </cell>
          <cell r="ES34">
            <v>28.63</v>
          </cell>
          <cell r="ET34">
            <v>29.53</v>
          </cell>
          <cell r="EU34">
            <v>30.51</v>
          </cell>
          <cell r="EV34">
            <v>31.49</v>
          </cell>
          <cell r="EW34">
            <v>32.5</v>
          </cell>
          <cell r="EX34">
            <v>33.46</v>
          </cell>
          <cell r="EY34">
            <v>34.44</v>
          </cell>
          <cell r="EZ34">
            <v>35.24</v>
          </cell>
          <cell r="FA34">
            <v>36.200000000000003</v>
          </cell>
          <cell r="FB34">
            <v>37.14</v>
          </cell>
          <cell r="FC34">
            <v>38.08</v>
          </cell>
          <cell r="FD34">
            <v>39.08</v>
          </cell>
          <cell r="FE34">
            <v>40.049999999999997</v>
          </cell>
          <cell r="FF34">
            <v>41</v>
          </cell>
          <cell r="FG34">
            <v>41.88</v>
          </cell>
          <cell r="FH34">
            <v>30.09</v>
          </cell>
          <cell r="FI34">
            <v>30.2</v>
          </cell>
          <cell r="FJ34">
            <v>30.2</v>
          </cell>
          <cell r="FK34">
            <v>30.43</v>
          </cell>
          <cell r="FL34">
            <v>30.55</v>
          </cell>
          <cell r="FM34">
            <v>30.62</v>
          </cell>
          <cell r="FN34">
            <v>30.65</v>
          </cell>
          <cell r="FO34">
            <v>30.89</v>
          </cell>
          <cell r="FP34">
            <v>31.25</v>
          </cell>
          <cell r="FQ34">
            <v>31.58</v>
          </cell>
          <cell r="FR34">
            <v>31.87</v>
          </cell>
          <cell r="FS34">
            <v>32.4</v>
          </cell>
          <cell r="FT34">
            <v>32.64</v>
          </cell>
          <cell r="FU34">
            <v>32.81</v>
          </cell>
          <cell r="FV34">
            <v>33.61</v>
          </cell>
          <cell r="FW34">
            <v>34.42</v>
          </cell>
          <cell r="FX34">
            <v>35.35</v>
          </cell>
          <cell r="FY34">
            <v>36.21</v>
          </cell>
          <cell r="FZ34">
            <v>36.35</v>
          </cell>
          <cell r="GA34">
            <v>36.479999999999997</v>
          </cell>
          <cell r="GB34">
            <v>36.619999999999997</v>
          </cell>
          <cell r="GC34">
            <v>37.42</v>
          </cell>
          <cell r="GD34">
            <v>38.31</v>
          </cell>
          <cell r="GE34">
            <v>39.26</v>
          </cell>
          <cell r="GF34">
            <v>40.159999999999997</v>
          </cell>
          <cell r="GG34">
            <v>41.21</v>
          </cell>
          <cell r="GH34">
            <v>41.71</v>
          </cell>
          <cell r="GI34">
            <v>41.85</v>
          </cell>
          <cell r="GJ34">
            <v>42.93</v>
          </cell>
          <cell r="GK34">
            <v>43.66</v>
          </cell>
          <cell r="GL34">
            <v>44.57</v>
          </cell>
          <cell r="GM34">
            <v>45.38</v>
          </cell>
          <cell r="GN34">
            <v>46.31</v>
          </cell>
          <cell r="GO34">
            <v>46.7</v>
          </cell>
          <cell r="GP34">
            <v>46.84</v>
          </cell>
          <cell r="GQ34">
            <v>47.81</v>
          </cell>
          <cell r="GR34">
            <v>48.86</v>
          </cell>
          <cell r="GS34">
            <v>49.92</v>
          </cell>
          <cell r="GT34">
            <v>50.94</v>
          </cell>
          <cell r="GU34">
            <v>51.82</v>
          </cell>
          <cell r="GV34">
            <v>51.95</v>
          </cell>
          <cell r="GW34">
            <v>52.07</v>
          </cell>
          <cell r="GX34">
            <v>53</v>
          </cell>
          <cell r="GY34">
            <v>53.87</v>
          </cell>
          <cell r="GZ34">
            <v>54.71</v>
          </cell>
          <cell r="HA34">
            <v>55.61</v>
          </cell>
          <cell r="HB34">
            <v>55.77</v>
          </cell>
          <cell r="HC34">
            <v>55.92</v>
          </cell>
          <cell r="HD34">
            <v>56.04</v>
          </cell>
          <cell r="HE34">
            <v>57.01</v>
          </cell>
          <cell r="HF34">
            <v>58.05</v>
          </cell>
          <cell r="HG34">
            <v>58.92</v>
          </cell>
          <cell r="HH34">
            <v>59.6</v>
          </cell>
          <cell r="HI34">
            <v>60.42</v>
          </cell>
          <cell r="HJ34">
            <v>60.96</v>
          </cell>
          <cell r="HK34">
            <v>61.11</v>
          </cell>
          <cell r="HL34">
            <v>61.82</v>
          </cell>
          <cell r="HM34">
            <v>62.87</v>
          </cell>
          <cell r="HN34">
            <v>63.93</v>
          </cell>
          <cell r="HO34">
            <v>64.94</v>
          </cell>
          <cell r="HP34">
            <v>65.77</v>
          </cell>
          <cell r="HQ34">
            <v>65.900000000000006</v>
          </cell>
          <cell r="HR34">
            <v>66.05</v>
          </cell>
          <cell r="HS34">
            <v>67.02</v>
          </cell>
          <cell r="HT34">
            <v>67.77</v>
          </cell>
          <cell r="HU34">
            <v>68.41</v>
          </cell>
          <cell r="HV34">
            <v>69.39</v>
          </cell>
          <cell r="HW34">
            <v>70.430000000000007</v>
          </cell>
          <cell r="HX34">
            <v>70.959999999999994</v>
          </cell>
          <cell r="HY34">
            <v>71.09</v>
          </cell>
          <cell r="HZ34">
            <v>71.459999999999994</v>
          </cell>
          <cell r="IA34">
            <v>72.239999999999995</v>
          </cell>
          <cell r="IB34">
            <v>73.25</v>
          </cell>
          <cell r="IC34">
            <v>73.45</v>
          </cell>
          <cell r="ID34">
            <v>74.209999999999994</v>
          </cell>
          <cell r="IE34">
            <v>74.89</v>
          </cell>
          <cell r="IF34">
            <v>75.67</v>
          </cell>
          <cell r="IG34">
            <v>76.59</v>
          </cell>
          <cell r="IH34">
            <v>77.58</v>
          </cell>
          <cell r="II34">
            <v>78.59</v>
          </cell>
          <cell r="IJ34">
            <v>79.58</v>
          </cell>
          <cell r="IK34">
            <v>80.37</v>
          </cell>
          <cell r="IL34">
            <v>81.2</v>
          </cell>
          <cell r="IM34">
            <v>82.21</v>
          </cell>
          <cell r="IN34">
            <v>83.28</v>
          </cell>
          <cell r="IO34">
            <v>84.2</v>
          </cell>
          <cell r="IP34">
            <v>84.68</v>
          </cell>
          <cell r="IQ34">
            <v>85.56</v>
          </cell>
          <cell r="IR34">
            <v>86.66</v>
          </cell>
          <cell r="IS34">
            <v>87.8</v>
          </cell>
          <cell r="IT34">
            <v>88.73</v>
          </cell>
          <cell r="IU34">
            <v>89.78</v>
          </cell>
          <cell r="IV34">
            <v>90.89</v>
          </cell>
          <cell r="IW34">
            <v>91.87</v>
          </cell>
          <cell r="IX34">
            <v>92.92</v>
          </cell>
          <cell r="IY34">
            <v>94.15</v>
          </cell>
          <cell r="IZ34">
            <v>95.06</v>
          </cell>
          <cell r="JA34">
            <v>95.54</v>
          </cell>
          <cell r="JB34">
            <v>96.37</v>
          </cell>
          <cell r="JC34">
            <v>97.37</v>
          </cell>
          <cell r="JD34">
            <v>98.28</v>
          </cell>
          <cell r="JE34">
            <v>99.26</v>
          </cell>
          <cell r="JF34">
            <v>99.93</v>
          </cell>
          <cell r="JG34">
            <v>100.86</v>
          </cell>
          <cell r="JH34">
            <v>101</v>
          </cell>
          <cell r="JI34">
            <v>101.87</v>
          </cell>
          <cell r="JJ34">
            <v>102.86</v>
          </cell>
          <cell r="JK34">
            <v>103.89</v>
          </cell>
          <cell r="JL34">
            <v>104.94</v>
          </cell>
          <cell r="JM34">
            <v>105.51</v>
          </cell>
          <cell r="JN34">
            <v>106.41000000000001</v>
          </cell>
          <cell r="JO34">
            <v>107.43</v>
          </cell>
          <cell r="JP34">
            <v>108.14</v>
          </cell>
          <cell r="JQ34">
            <v>108.97</v>
          </cell>
          <cell r="JR34">
            <v>109.89</v>
          </cell>
          <cell r="JS34">
            <v>110.88</v>
          </cell>
          <cell r="JT34">
            <v>111.45</v>
          </cell>
          <cell r="JU34">
            <v>112.19</v>
          </cell>
          <cell r="JV34">
            <v>112.91</v>
          </cell>
          <cell r="JW34">
            <v>113</v>
          </cell>
          <cell r="JX34">
            <v>113.12</v>
          </cell>
          <cell r="JY34">
            <v>114.09</v>
          </cell>
          <cell r="JZ34">
            <v>115.08</v>
          </cell>
          <cell r="KA34">
            <v>116.2</v>
          </cell>
          <cell r="KB34">
            <v>117.38</v>
          </cell>
          <cell r="KC34">
            <v>117.65</v>
          </cell>
          <cell r="KD34">
            <v>118.71</v>
          </cell>
          <cell r="KE34">
            <v>119.72</v>
          </cell>
          <cell r="KF34">
            <v>120.68</v>
          </cell>
          <cell r="KG34">
            <v>121.64</v>
          </cell>
          <cell r="KH34">
            <v>122.5</v>
          </cell>
          <cell r="KI34">
            <v>123.78</v>
          </cell>
          <cell r="KJ34">
            <v>124.79</v>
          </cell>
          <cell r="KK34">
            <v>125.89</v>
          </cell>
          <cell r="KL34">
            <v>126.86</v>
          </cell>
          <cell r="KM34">
            <v>127.46</v>
          </cell>
          <cell r="KN34">
            <v>128.44999999999999</v>
          </cell>
          <cell r="KO34">
            <v>129.5</v>
          </cell>
          <cell r="KP34">
            <v>130</v>
          </cell>
          <cell r="KQ34">
            <v>131.16</v>
          </cell>
          <cell r="KR34">
            <v>132.1</v>
          </cell>
          <cell r="KS34">
            <v>133.04</v>
          </cell>
          <cell r="KT34">
            <v>134.08000000000001</v>
          </cell>
          <cell r="KU34">
            <v>135.08000000000001</v>
          </cell>
          <cell r="KV34">
            <v>136.12</v>
          </cell>
          <cell r="KW34">
            <v>137.21</v>
          </cell>
          <cell r="KX34">
            <v>137.96</v>
          </cell>
          <cell r="KY34">
            <v>139.01</v>
          </cell>
          <cell r="KZ34">
            <v>139.80000000000001</v>
          </cell>
          <cell r="LA34">
            <v>140.74</v>
          </cell>
          <cell r="LB34">
            <v>141.38</v>
          </cell>
          <cell r="LC34">
            <v>142.28</v>
          </cell>
          <cell r="LD34">
            <v>143.02000000000001</v>
          </cell>
          <cell r="LE34">
            <v>143.97999999999999</v>
          </cell>
          <cell r="LF34">
            <v>145.03</v>
          </cell>
          <cell r="LG34">
            <v>145.97999999999999</v>
          </cell>
          <cell r="LH34">
            <v>147.11000000000001</v>
          </cell>
          <cell r="LI34">
            <v>147.88</v>
          </cell>
          <cell r="LJ34">
            <v>148.97999999999999</v>
          </cell>
          <cell r="LK34">
            <v>150.05000000000001</v>
          </cell>
          <cell r="LL34">
            <v>150.97999999999999</v>
          </cell>
          <cell r="LM34">
            <v>152.05000000000001</v>
          </cell>
          <cell r="LN34">
            <v>152.86000000000001</v>
          </cell>
          <cell r="LO34">
            <v>153.91999999999999</v>
          </cell>
          <cell r="LP34">
            <v>154.88999999999999</v>
          </cell>
          <cell r="LQ34">
            <v>156.02000000000001</v>
          </cell>
          <cell r="LR34">
            <v>157.13</v>
          </cell>
          <cell r="LS34">
            <v>158.13</v>
          </cell>
          <cell r="LT34">
            <v>159.16999999999999</v>
          </cell>
          <cell r="LU34">
            <v>160.18</v>
          </cell>
          <cell r="LV34">
            <v>161.24</v>
          </cell>
          <cell r="LW34">
            <v>162.29</v>
          </cell>
          <cell r="LX34">
            <v>163.45999999999998</v>
          </cell>
          <cell r="LY34">
            <v>164.45999999999998</v>
          </cell>
          <cell r="LZ34">
            <v>165.31</v>
          </cell>
          <cell r="MA34">
            <v>166.4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</row>
        <row r="35">
          <cell r="A35" t="str">
            <v>SD 7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0.1</v>
          </cell>
          <cell r="DK35">
            <v>1.07</v>
          </cell>
          <cell r="DL35">
            <v>2.04</v>
          </cell>
          <cell r="DM35">
            <v>3.02</v>
          </cell>
          <cell r="DN35">
            <v>4.0199999999999996</v>
          </cell>
          <cell r="DO35">
            <v>4.97</v>
          </cell>
          <cell r="DP35">
            <v>5.0999999999999996</v>
          </cell>
          <cell r="DQ35">
            <v>5.21</v>
          </cell>
          <cell r="DR35">
            <v>6.14</v>
          </cell>
          <cell r="DS35">
            <v>6.99</v>
          </cell>
          <cell r="DT35">
            <v>7.15</v>
          </cell>
          <cell r="DU35">
            <v>8.1199999999999992</v>
          </cell>
          <cell r="DV35">
            <v>9.1</v>
          </cell>
          <cell r="DW35">
            <v>9.4499999999999993</v>
          </cell>
          <cell r="DX35">
            <v>9.5500000000000007</v>
          </cell>
          <cell r="DY35">
            <v>9.68</v>
          </cell>
          <cell r="DZ35">
            <v>10.75</v>
          </cell>
          <cell r="EA35">
            <v>11.72</v>
          </cell>
          <cell r="EB35">
            <v>12.63</v>
          </cell>
          <cell r="EC35">
            <v>13.62</v>
          </cell>
          <cell r="ED35">
            <v>14.64</v>
          </cell>
          <cell r="EE35">
            <v>18</v>
          </cell>
          <cell r="EF35">
            <v>19</v>
          </cell>
          <cell r="EG35">
            <v>15.53</v>
          </cell>
          <cell r="EH35">
            <v>17</v>
          </cell>
          <cell r="EI35">
            <v>19.39</v>
          </cell>
          <cell r="EJ35">
            <v>17.850000000000001</v>
          </cell>
          <cell r="EK35">
            <v>18</v>
          </cell>
          <cell r="EL35">
            <v>22.28</v>
          </cell>
          <cell r="EM35">
            <v>23.22</v>
          </cell>
          <cell r="EN35">
            <v>24.13</v>
          </cell>
          <cell r="EO35">
            <v>24.71</v>
          </cell>
          <cell r="EP35">
            <v>25.69</v>
          </cell>
          <cell r="EQ35">
            <v>26.68</v>
          </cell>
          <cell r="ER35">
            <v>23.76</v>
          </cell>
          <cell r="ES35">
            <v>23.92</v>
          </cell>
          <cell r="ET35">
            <v>24.69</v>
          </cell>
          <cell r="EU35">
            <v>25.54</v>
          </cell>
          <cell r="EV35">
            <v>26.5</v>
          </cell>
          <cell r="EW35">
            <v>27.54</v>
          </cell>
          <cell r="EX35">
            <v>28.34</v>
          </cell>
          <cell r="EY35">
            <v>28.5</v>
          </cell>
          <cell r="EZ35">
            <v>28.65</v>
          </cell>
          <cell r="FA35">
            <v>29.06</v>
          </cell>
          <cell r="FB35">
            <v>29.42</v>
          </cell>
          <cell r="FC35">
            <v>29.53</v>
          </cell>
          <cell r="FD35">
            <v>29.64</v>
          </cell>
          <cell r="FE35">
            <v>29.74</v>
          </cell>
          <cell r="FF35">
            <v>29.86</v>
          </cell>
          <cell r="FG35">
            <v>29.97</v>
          </cell>
          <cell r="FH35">
            <v>42.87</v>
          </cell>
          <cell r="FI35">
            <v>43.84</v>
          </cell>
          <cell r="FJ35">
            <v>44.72</v>
          </cell>
          <cell r="FK35">
            <v>45.72</v>
          </cell>
          <cell r="FL35">
            <v>46.53</v>
          </cell>
          <cell r="FM35">
            <v>46.84</v>
          </cell>
          <cell r="FN35">
            <v>47.45</v>
          </cell>
          <cell r="FO35">
            <v>48.45</v>
          </cell>
          <cell r="FP35">
            <v>49.32</v>
          </cell>
          <cell r="FQ35">
            <v>49.9</v>
          </cell>
          <cell r="FR35">
            <v>50.81</v>
          </cell>
          <cell r="FS35">
            <v>51.86</v>
          </cell>
          <cell r="FT35">
            <v>52.71</v>
          </cell>
          <cell r="FU35">
            <v>53.61</v>
          </cell>
          <cell r="FV35">
            <v>54.55</v>
          </cell>
          <cell r="FW35">
            <v>55.44</v>
          </cell>
          <cell r="FX35">
            <v>56.12</v>
          </cell>
          <cell r="FY35">
            <v>57.02</v>
          </cell>
          <cell r="FZ35">
            <v>57.85</v>
          </cell>
          <cell r="GA35">
            <v>58.71</v>
          </cell>
          <cell r="GB35">
            <v>58.86</v>
          </cell>
          <cell r="GC35">
            <v>59.86</v>
          </cell>
          <cell r="GD35">
            <v>60.83</v>
          </cell>
          <cell r="GE35">
            <v>61.77</v>
          </cell>
          <cell r="GF35">
            <v>62.78</v>
          </cell>
          <cell r="GG35">
            <v>63.79</v>
          </cell>
          <cell r="GH35">
            <v>64.19</v>
          </cell>
          <cell r="GI35">
            <v>64.319999999999993</v>
          </cell>
          <cell r="GJ35">
            <v>65.3</v>
          </cell>
          <cell r="GK35">
            <v>66.25</v>
          </cell>
          <cell r="GL35">
            <v>67.22</v>
          </cell>
          <cell r="GM35">
            <v>68.22</v>
          </cell>
          <cell r="GN35">
            <v>69.2</v>
          </cell>
          <cell r="GO35">
            <v>69.63</v>
          </cell>
          <cell r="GP35">
            <v>69.75</v>
          </cell>
          <cell r="GQ35">
            <v>70.709999999999994</v>
          </cell>
          <cell r="GR35">
            <v>71.53</v>
          </cell>
          <cell r="GS35">
            <v>72.430000000000007</v>
          </cell>
          <cell r="GT35">
            <v>73.41</v>
          </cell>
          <cell r="GU35">
            <v>74.42</v>
          </cell>
          <cell r="GV35">
            <v>74.77</v>
          </cell>
          <cell r="GW35">
            <v>74.88</v>
          </cell>
          <cell r="GX35">
            <v>75.83</v>
          </cell>
          <cell r="GY35">
            <v>76.8</v>
          </cell>
          <cell r="GZ35">
            <v>77.790000000000006</v>
          </cell>
          <cell r="HA35">
            <v>78.739999999999995</v>
          </cell>
          <cell r="HB35">
            <v>79.709999999999994</v>
          </cell>
          <cell r="HC35">
            <v>80.2</v>
          </cell>
          <cell r="HD35">
            <v>80.31</v>
          </cell>
          <cell r="HE35">
            <v>80.66</v>
          </cell>
          <cell r="HF35">
            <v>81.64</v>
          </cell>
          <cell r="HG35">
            <v>82.59</v>
          </cell>
          <cell r="HH35">
            <v>83.39</v>
          </cell>
          <cell r="HI35">
            <v>84.31</v>
          </cell>
          <cell r="HJ35">
            <v>84.76</v>
          </cell>
          <cell r="HK35">
            <v>84.88</v>
          </cell>
          <cell r="HL35">
            <v>85.9</v>
          </cell>
          <cell r="HM35">
            <v>86.87</v>
          </cell>
          <cell r="HN35">
            <v>87.57</v>
          </cell>
          <cell r="HO35">
            <v>88.51</v>
          </cell>
          <cell r="HP35">
            <v>89.61</v>
          </cell>
          <cell r="HQ35">
            <v>90.5</v>
          </cell>
          <cell r="HR35">
            <v>91.46</v>
          </cell>
          <cell r="HS35">
            <v>92.48</v>
          </cell>
          <cell r="HT35">
            <v>93.43</v>
          </cell>
          <cell r="HU35">
            <v>94.35</v>
          </cell>
          <cell r="HV35">
            <v>95.31</v>
          </cell>
          <cell r="HW35">
            <v>96.22</v>
          </cell>
          <cell r="HX35">
            <v>97.24</v>
          </cell>
          <cell r="HY35">
            <v>98.1</v>
          </cell>
          <cell r="HZ35">
            <v>99.11</v>
          </cell>
          <cell r="IA35">
            <v>100.09</v>
          </cell>
          <cell r="IB35">
            <v>100.89</v>
          </cell>
          <cell r="IC35">
            <v>101.11</v>
          </cell>
          <cell r="ID35">
            <v>101.94</v>
          </cell>
          <cell r="IE35">
            <v>102.77</v>
          </cell>
          <cell r="IF35">
            <v>103.74</v>
          </cell>
          <cell r="IG35">
            <v>104.69</v>
          </cell>
          <cell r="IH35">
            <v>105.67</v>
          </cell>
          <cell r="II35">
            <v>106.56</v>
          </cell>
          <cell r="IJ35">
            <v>107.5</v>
          </cell>
          <cell r="IK35">
            <v>108.49</v>
          </cell>
          <cell r="IL35">
            <v>109.49</v>
          </cell>
          <cell r="IM35">
            <v>110.43</v>
          </cell>
          <cell r="IN35">
            <v>111.39</v>
          </cell>
          <cell r="IO35">
            <v>112.35</v>
          </cell>
          <cell r="IP35">
            <v>112.71</v>
          </cell>
          <cell r="IQ35">
            <v>113.45</v>
          </cell>
          <cell r="IR35">
            <v>114.39</v>
          </cell>
          <cell r="IS35">
            <v>115.37</v>
          </cell>
          <cell r="IT35">
            <v>116.12</v>
          </cell>
          <cell r="IU35">
            <v>117.1</v>
          </cell>
          <cell r="IV35">
            <v>117.84</v>
          </cell>
          <cell r="IW35">
            <v>118.8</v>
          </cell>
          <cell r="IX35">
            <v>119.09</v>
          </cell>
          <cell r="IY35">
            <v>120.23</v>
          </cell>
          <cell r="IZ35">
            <v>120.99</v>
          </cell>
          <cell r="JA35">
            <v>121.9</v>
          </cell>
          <cell r="JB35">
            <v>122.88</v>
          </cell>
          <cell r="JC35">
            <v>123.85</v>
          </cell>
          <cell r="JD35">
            <v>124.8</v>
          </cell>
          <cell r="JE35">
            <v>125.76</v>
          </cell>
          <cell r="JF35">
            <v>126.75</v>
          </cell>
          <cell r="JG35">
            <v>127.64</v>
          </cell>
          <cell r="JH35">
            <v>128.59</v>
          </cell>
          <cell r="JI35">
            <v>129.57</v>
          </cell>
          <cell r="JJ35">
            <v>130.57</v>
          </cell>
          <cell r="JK35">
            <v>131.52000000000001</v>
          </cell>
          <cell r="JL35">
            <v>132.53</v>
          </cell>
          <cell r="JM35">
            <v>133.53</v>
          </cell>
          <cell r="JN35">
            <v>134.41</v>
          </cell>
          <cell r="JO35">
            <v>135.53</v>
          </cell>
          <cell r="JP35">
            <v>136.5</v>
          </cell>
          <cell r="JQ35">
            <v>137.52000000000001</v>
          </cell>
          <cell r="JR35">
            <v>138.38999999999999</v>
          </cell>
          <cell r="JS35">
            <v>139.4</v>
          </cell>
          <cell r="JT35">
            <v>140.35</v>
          </cell>
          <cell r="JU35">
            <v>141.41</v>
          </cell>
          <cell r="JV35">
            <v>142.31</v>
          </cell>
          <cell r="JW35">
            <v>142.47999999999999</v>
          </cell>
          <cell r="JX35">
            <v>142.63999999999999</v>
          </cell>
          <cell r="JY35">
            <v>143.41999999999999</v>
          </cell>
          <cell r="JZ35">
            <v>144.12</v>
          </cell>
          <cell r="KA35">
            <v>145.15</v>
          </cell>
          <cell r="KB35">
            <v>146.19999999999999</v>
          </cell>
          <cell r="KC35">
            <v>146.41</v>
          </cell>
          <cell r="KD35">
            <v>147.36000000000001</v>
          </cell>
          <cell r="KE35">
            <v>148.35</v>
          </cell>
          <cell r="KF35">
            <v>149.02000000000001</v>
          </cell>
          <cell r="KG35">
            <v>149.69</v>
          </cell>
          <cell r="KH35">
            <v>150.80000000000001</v>
          </cell>
          <cell r="KI35">
            <v>151.94999999999999</v>
          </cell>
          <cell r="KJ35">
            <v>152.86000000000001</v>
          </cell>
          <cell r="KK35">
            <v>153.91999999999999</v>
          </cell>
          <cell r="KL35">
            <v>154.91999999999999</v>
          </cell>
          <cell r="KM35">
            <v>155.80000000000001</v>
          </cell>
          <cell r="KN35">
            <v>156.76</v>
          </cell>
          <cell r="KO35">
            <v>157.72</v>
          </cell>
          <cell r="KP35">
            <v>158.32</v>
          </cell>
          <cell r="KQ35">
            <v>159.24</v>
          </cell>
          <cell r="KR35">
            <v>160.25</v>
          </cell>
          <cell r="KS35">
            <v>161.19999999999999</v>
          </cell>
          <cell r="KT35">
            <v>162.1</v>
          </cell>
          <cell r="KU35">
            <v>163.11000000000001</v>
          </cell>
          <cell r="KV35">
            <v>164.11</v>
          </cell>
          <cell r="KW35">
            <v>165.1</v>
          </cell>
          <cell r="KX35">
            <v>166.03</v>
          </cell>
          <cell r="KY35">
            <v>167.06</v>
          </cell>
          <cell r="KZ35">
            <v>168.02</v>
          </cell>
          <cell r="LA35">
            <v>168.85</v>
          </cell>
          <cell r="LB35">
            <v>169.82</v>
          </cell>
          <cell r="LC35">
            <v>170.85</v>
          </cell>
          <cell r="LD35">
            <v>171.82</v>
          </cell>
          <cell r="LE35">
            <v>172.74</v>
          </cell>
          <cell r="LF35">
            <v>173.73</v>
          </cell>
          <cell r="LG35">
            <v>174.68</v>
          </cell>
          <cell r="LH35">
            <v>175.64</v>
          </cell>
          <cell r="LI35">
            <v>176.63</v>
          </cell>
          <cell r="LJ35">
            <v>177.65</v>
          </cell>
          <cell r="LK35">
            <v>178.68</v>
          </cell>
          <cell r="LL35">
            <v>179.64</v>
          </cell>
          <cell r="LM35">
            <v>180.65</v>
          </cell>
          <cell r="LN35">
            <v>181.55</v>
          </cell>
          <cell r="LO35">
            <v>182.49</v>
          </cell>
          <cell r="LP35">
            <v>183.13</v>
          </cell>
          <cell r="LQ35">
            <v>184.18</v>
          </cell>
          <cell r="LR35">
            <v>185.18</v>
          </cell>
          <cell r="LS35">
            <v>186.19</v>
          </cell>
          <cell r="LT35">
            <v>187.16</v>
          </cell>
          <cell r="LU35">
            <v>188.17</v>
          </cell>
          <cell r="LV35">
            <v>189.09</v>
          </cell>
          <cell r="LW35">
            <v>190.08</v>
          </cell>
          <cell r="LX35">
            <v>191.18</v>
          </cell>
          <cell r="LY35">
            <v>192.21</v>
          </cell>
          <cell r="LZ35">
            <v>193.01</v>
          </cell>
          <cell r="MA35">
            <v>193.85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</row>
        <row r="36">
          <cell r="A36" t="str">
            <v>SD XX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0</v>
          </cell>
          <cell r="GM36">
            <v>0</v>
          </cell>
          <cell r="GN36">
            <v>0</v>
          </cell>
          <cell r="GO36">
            <v>0</v>
          </cell>
          <cell r="GP36">
            <v>0</v>
          </cell>
          <cell r="GQ36">
            <v>0</v>
          </cell>
          <cell r="GR36">
            <v>0</v>
          </cell>
          <cell r="GS36">
            <v>0</v>
          </cell>
          <cell r="GT36">
            <v>0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0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0</v>
          </cell>
          <cell r="IJ36">
            <v>0</v>
          </cell>
          <cell r="IK36">
            <v>0</v>
          </cell>
          <cell r="IL36">
            <v>0</v>
          </cell>
          <cell r="IM36">
            <v>0</v>
          </cell>
          <cell r="IN36">
            <v>0</v>
          </cell>
          <cell r="IO36">
            <v>0</v>
          </cell>
          <cell r="IP36">
            <v>0</v>
          </cell>
          <cell r="IQ36">
            <v>0</v>
          </cell>
          <cell r="IR36">
            <v>0</v>
          </cell>
          <cell r="IS36">
            <v>0</v>
          </cell>
          <cell r="IT36">
            <v>0</v>
          </cell>
          <cell r="IU36">
            <v>0</v>
          </cell>
          <cell r="IV36">
            <v>0</v>
          </cell>
          <cell r="IW36">
            <v>0</v>
          </cell>
          <cell r="IX36">
            <v>0</v>
          </cell>
          <cell r="IY36">
            <v>0</v>
          </cell>
          <cell r="IZ36">
            <v>0</v>
          </cell>
          <cell r="JA36">
            <v>0</v>
          </cell>
          <cell r="JB36">
            <v>0</v>
          </cell>
          <cell r="JC36">
            <v>0</v>
          </cell>
          <cell r="JD36">
            <v>0</v>
          </cell>
          <cell r="JE36">
            <v>0</v>
          </cell>
          <cell r="JF36">
            <v>0</v>
          </cell>
          <cell r="JG36">
            <v>0</v>
          </cell>
          <cell r="JH36">
            <v>0</v>
          </cell>
          <cell r="JI36">
            <v>0</v>
          </cell>
          <cell r="JJ36">
            <v>0</v>
          </cell>
          <cell r="JK36">
            <v>0</v>
          </cell>
          <cell r="JL36">
            <v>0</v>
          </cell>
          <cell r="JM36">
            <v>0</v>
          </cell>
          <cell r="JN36">
            <v>0</v>
          </cell>
          <cell r="JO36">
            <v>0</v>
          </cell>
          <cell r="JP36">
            <v>0</v>
          </cell>
          <cell r="JQ36">
            <v>0</v>
          </cell>
          <cell r="JR36">
            <v>0</v>
          </cell>
          <cell r="JS36">
            <v>0</v>
          </cell>
          <cell r="JT36">
            <v>0</v>
          </cell>
          <cell r="JU36">
            <v>0</v>
          </cell>
          <cell r="JV36">
            <v>0</v>
          </cell>
          <cell r="JW36">
            <v>0</v>
          </cell>
          <cell r="JX36">
            <v>0</v>
          </cell>
          <cell r="JY36">
            <v>0</v>
          </cell>
          <cell r="JZ36">
            <v>0</v>
          </cell>
          <cell r="KA36">
            <v>0</v>
          </cell>
          <cell r="KB36">
            <v>0</v>
          </cell>
          <cell r="KC36">
            <v>0</v>
          </cell>
          <cell r="KD36">
            <v>0</v>
          </cell>
          <cell r="KE36">
            <v>0</v>
          </cell>
          <cell r="KF36">
            <v>0</v>
          </cell>
          <cell r="KG36">
            <v>0</v>
          </cell>
          <cell r="KH36">
            <v>0</v>
          </cell>
          <cell r="KI36">
            <v>0</v>
          </cell>
          <cell r="KJ36">
            <v>0</v>
          </cell>
          <cell r="KK36">
            <v>0</v>
          </cell>
          <cell r="KL36">
            <v>0</v>
          </cell>
          <cell r="KM36">
            <v>0</v>
          </cell>
          <cell r="KN36">
            <v>0</v>
          </cell>
          <cell r="KO36">
            <v>0</v>
          </cell>
          <cell r="KP36">
            <v>0</v>
          </cell>
          <cell r="KQ36">
            <v>0</v>
          </cell>
          <cell r="KR36">
            <v>0</v>
          </cell>
          <cell r="KS36">
            <v>0</v>
          </cell>
          <cell r="KT36">
            <v>0</v>
          </cell>
          <cell r="KU36">
            <v>0</v>
          </cell>
          <cell r="KV36">
            <v>0</v>
          </cell>
          <cell r="KW36">
            <v>0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</row>
        <row r="37">
          <cell r="A37" t="str">
            <v>SD XX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0</v>
          </cell>
          <cell r="GN37">
            <v>0</v>
          </cell>
          <cell r="GO37">
            <v>0</v>
          </cell>
          <cell r="GP37">
            <v>0</v>
          </cell>
          <cell r="GQ37">
            <v>0</v>
          </cell>
          <cell r="GR37">
            <v>0</v>
          </cell>
          <cell r="GS37">
            <v>0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0</v>
          </cell>
          <cell r="HQ37">
            <v>0</v>
          </cell>
          <cell r="HR37">
            <v>0</v>
          </cell>
          <cell r="HS37">
            <v>0</v>
          </cell>
          <cell r="HT37">
            <v>0</v>
          </cell>
          <cell r="HU37">
            <v>0</v>
          </cell>
          <cell r="HV37">
            <v>0</v>
          </cell>
          <cell r="HW37">
            <v>0</v>
          </cell>
          <cell r="HX37">
            <v>0</v>
          </cell>
          <cell r="HY37">
            <v>0</v>
          </cell>
          <cell r="HZ37">
            <v>0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0</v>
          </cell>
          <cell r="IF37">
            <v>0</v>
          </cell>
          <cell r="IG37">
            <v>0</v>
          </cell>
          <cell r="IH37">
            <v>0</v>
          </cell>
          <cell r="II37">
            <v>0</v>
          </cell>
          <cell r="IJ37">
            <v>0</v>
          </cell>
          <cell r="IK37">
            <v>0</v>
          </cell>
          <cell r="IL37">
            <v>0</v>
          </cell>
          <cell r="IM37">
            <v>0</v>
          </cell>
          <cell r="IN37">
            <v>0</v>
          </cell>
          <cell r="IO37">
            <v>0</v>
          </cell>
          <cell r="IP37">
            <v>0</v>
          </cell>
          <cell r="IQ37">
            <v>0</v>
          </cell>
          <cell r="IR37">
            <v>0</v>
          </cell>
          <cell r="IS37">
            <v>0</v>
          </cell>
          <cell r="IT37">
            <v>0</v>
          </cell>
          <cell r="IU37">
            <v>0</v>
          </cell>
          <cell r="IV37">
            <v>0</v>
          </cell>
          <cell r="IW37">
            <v>0</v>
          </cell>
          <cell r="IX37">
            <v>0</v>
          </cell>
          <cell r="IY37">
            <v>0</v>
          </cell>
          <cell r="IZ37">
            <v>0</v>
          </cell>
          <cell r="JA37">
            <v>0</v>
          </cell>
          <cell r="JB37">
            <v>0</v>
          </cell>
          <cell r="JC37">
            <v>0</v>
          </cell>
          <cell r="JD37">
            <v>0</v>
          </cell>
          <cell r="JE37">
            <v>0</v>
          </cell>
          <cell r="JF37">
            <v>0</v>
          </cell>
          <cell r="JG37">
            <v>0</v>
          </cell>
          <cell r="JH37">
            <v>0</v>
          </cell>
          <cell r="JI37">
            <v>0</v>
          </cell>
          <cell r="JJ37">
            <v>0</v>
          </cell>
          <cell r="JK37">
            <v>0</v>
          </cell>
          <cell r="JL37">
            <v>0</v>
          </cell>
          <cell r="JM37">
            <v>0</v>
          </cell>
          <cell r="JN37">
            <v>0</v>
          </cell>
          <cell r="JO37">
            <v>0</v>
          </cell>
          <cell r="JP37">
            <v>0</v>
          </cell>
          <cell r="JQ37">
            <v>0</v>
          </cell>
          <cell r="JR37">
            <v>0</v>
          </cell>
          <cell r="JS37">
            <v>0</v>
          </cell>
          <cell r="JT37">
            <v>0</v>
          </cell>
          <cell r="JU37">
            <v>0</v>
          </cell>
          <cell r="JV37">
            <v>0</v>
          </cell>
          <cell r="JW37">
            <v>0</v>
          </cell>
          <cell r="JX37">
            <v>0</v>
          </cell>
          <cell r="JY37">
            <v>0</v>
          </cell>
          <cell r="JZ37">
            <v>0</v>
          </cell>
          <cell r="KA37">
            <v>0</v>
          </cell>
          <cell r="KB37">
            <v>0</v>
          </cell>
          <cell r="KC37">
            <v>0</v>
          </cell>
          <cell r="KD37">
            <v>0</v>
          </cell>
          <cell r="KE37">
            <v>0</v>
          </cell>
          <cell r="KF37">
            <v>0</v>
          </cell>
          <cell r="KG37">
            <v>0</v>
          </cell>
          <cell r="KH37">
            <v>0</v>
          </cell>
          <cell r="KI37">
            <v>0</v>
          </cell>
          <cell r="KJ37">
            <v>0</v>
          </cell>
          <cell r="KK37">
            <v>0</v>
          </cell>
          <cell r="KL37">
            <v>0</v>
          </cell>
          <cell r="KM37">
            <v>0</v>
          </cell>
          <cell r="KN37">
            <v>0</v>
          </cell>
          <cell r="KO37">
            <v>0</v>
          </cell>
          <cell r="KP37">
            <v>0</v>
          </cell>
          <cell r="KQ37">
            <v>0</v>
          </cell>
          <cell r="KR37">
            <v>0</v>
          </cell>
          <cell r="KS37">
            <v>0</v>
          </cell>
          <cell r="KT37">
            <v>0</v>
          </cell>
          <cell r="KU37">
            <v>0</v>
          </cell>
          <cell r="KV37">
            <v>0</v>
          </cell>
          <cell r="KW37">
            <v>0</v>
          </cell>
          <cell r="KX37">
            <v>0</v>
          </cell>
          <cell r="KY37">
            <v>0</v>
          </cell>
          <cell r="KZ37">
            <v>0</v>
          </cell>
          <cell r="LA37">
            <v>0</v>
          </cell>
          <cell r="LB37">
            <v>0</v>
          </cell>
          <cell r="LC37">
            <v>0</v>
          </cell>
          <cell r="LD37">
            <v>0</v>
          </cell>
          <cell r="LE37">
            <v>0</v>
          </cell>
          <cell r="LF37">
            <v>0</v>
          </cell>
          <cell r="LG37">
            <v>0</v>
          </cell>
          <cell r="LH37">
            <v>0</v>
          </cell>
          <cell r="LI37">
            <v>0</v>
          </cell>
          <cell r="LJ37">
            <v>0</v>
          </cell>
          <cell r="LK37">
            <v>0</v>
          </cell>
          <cell r="LL37">
            <v>0</v>
          </cell>
          <cell r="LM37">
            <v>0</v>
          </cell>
          <cell r="LN37">
            <v>0</v>
          </cell>
          <cell r="LO37">
            <v>0</v>
          </cell>
          <cell r="LP37">
            <v>0</v>
          </cell>
          <cell r="LQ37">
            <v>0</v>
          </cell>
          <cell r="LR37">
            <v>0</v>
          </cell>
          <cell r="LS37">
            <v>0</v>
          </cell>
          <cell r="LT37">
            <v>0</v>
          </cell>
          <cell r="LU37">
            <v>0</v>
          </cell>
          <cell r="LV37">
            <v>0</v>
          </cell>
          <cell r="LW37">
            <v>0</v>
          </cell>
          <cell r="LX37">
            <v>0</v>
          </cell>
          <cell r="LY37">
            <v>0</v>
          </cell>
          <cell r="LZ37">
            <v>0</v>
          </cell>
          <cell r="MA37">
            <v>0</v>
          </cell>
          <cell r="MB37">
            <v>0</v>
          </cell>
          <cell r="MC37">
            <v>0</v>
          </cell>
          <cell r="MD37">
            <v>0</v>
          </cell>
          <cell r="ME37">
            <v>0</v>
          </cell>
          <cell r="MF37">
            <v>0</v>
          </cell>
          <cell r="MG37">
            <v>0</v>
          </cell>
          <cell r="MH37">
            <v>0</v>
          </cell>
        </row>
        <row r="38">
          <cell r="A38" t="str">
            <v>SD  49  (ES 49)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1.1399999999999999</v>
          </cell>
          <cell r="FX38">
            <v>1.62</v>
          </cell>
          <cell r="FY38">
            <v>2.09</v>
          </cell>
          <cell r="FZ38">
            <v>2.4</v>
          </cell>
          <cell r="GA38">
            <v>2.4</v>
          </cell>
          <cell r="GB38">
            <v>2.56</v>
          </cell>
          <cell r="GC38">
            <v>2.98</v>
          </cell>
          <cell r="GD38">
            <v>3.37</v>
          </cell>
          <cell r="GE38">
            <v>3.73</v>
          </cell>
          <cell r="GF38">
            <v>4.0199999999999996</v>
          </cell>
          <cell r="GG38">
            <v>4.62</v>
          </cell>
          <cell r="GH38">
            <v>4.53</v>
          </cell>
          <cell r="GI38">
            <v>4.67</v>
          </cell>
          <cell r="GJ38">
            <v>5.15</v>
          </cell>
          <cell r="GK38">
            <v>5.66</v>
          </cell>
          <cell r="GL38">
            <v>6.11</v>
          </cell>
          <cell r="GM38">
            <v>6.33</v>
          </cell>
          <cell r="GN38">
            <v>6.48</v>
          </cell>
          <cell r="GO38">
            <v>6.63</v>
          </cell>
          <cell r="GP38">
            <v>6.77</v>
          </cell>
          <cell r="GQ38">
            <v>6.89</v>
          </cell>
          <cell r="GR38">
            <v>7.01</v>
          </cell>
          <cell r="GS38">
            <v>7.13</v>
          </cell>
          <cell r="GT38">
            <v>7.25</v>
          </cell>
          <cell r="GU38">
            <v>7.38</v>
          </cell>
          <cell r="GV38">
            <v>7.5</v>
          </cell>
          <cell r="GW38">
            <v>7.65</v>
          </cell>
          <cell r="GX38">
            <v>7.79</v>
          </cell>
          <cell r="GY38">
            <v>8.0500000000000007</v>
          </cell>
          <cell r="GZ38">
            <v>8.2899999999999991</v>
          </cell>
          <cell r="HA38">
            <v>8.44</v>
          </cell>
          <cell r="HB38">
            <v>8.59</v>
          </cell>
          <cell r="HC38">
            <v>8.75</v>
          </cell>
          <cell r="HD38">
            <v>8.8699999999999992</v>
          </cell>
          <cell r="HE38">
            <v>9.07</v>
          </cell>
          <cell r="HF38">
            <v>9.25</v>
          </cell>
          <cell r="HG38">
            <v>9.44</v>
          </cell>
          <cell r="HH38">
            <v>9.64</v>
          </cell>
          <cell r="HI38">
            <v>9.81</v>
          </cell>
          <cell r="HJ38">
            <v>10</v>
          </cell>
          <cell r="HK38">
            <v>10.17</v>
          </cell>
          <cell r="HL38">
            <v>10.37</v>
          </cell>
          <cell r="HM38">
            <v>10.78</v>
          </cell>
          <cell r="HN38">
            <v>10.96</v>
          </cell>
          <cell r="HO38">
            <v>11.37</v>
          </cell>
          <cell r="HP38">
            <v>11.58</v>
          </cell>
          <cell r="HQ38">
            <v>11.7</v>
          </cell>
          <cell r="HR38">
            <v>11.86</v>
          </cell>
          <cell r="HS38">
            <v>12.05</v>
          </cell>
          <cell r="HT38">
            <v>12.16</v>
          </cell>
          <cell r="HU38">
            <v>12.31</v>
          </cell>
          <cell r="HV38" t="str">
            <v xml:space="preserve">F / S </v>
          </cell>
          <cell r="HW38" t="str">
            <v xml:space="preserve">F / S </v>
          </cell>
          <cell r="HX38" t="str">
            <v xml:space="preserve">F / S </v>
          </cell>
          <cell r="HY38" t="str">
            <v xml:space="preserve">F / S </v>
          </cell>
          <cell r="HZ38" t="str">
            <v xml:space="preserve">F / S </v>
          </cell>
          <cell r="IA38" t="str">
            <v xml:space="preserve">F / S </v>
          </cell>
          <cell r="IB38" t="str">
            <v xml:space="preserve">F / S </v>
          </cell>
          <cell r="IC38" t="str">
            <v xml:space="preserve">F / S </v>
          </cell>
          <cell r="ID38" t="str">
            <v xml:space="preserve">F / S </v>
          </cell>
          <cell r="IE38" t="str">
            <v xml:space="preserve">F / S </v>
          </cell>
          <cell r="IF38" t="str">
            <v xml:space="preserve">F / S </v>
          </cell>
          <cell r="IG38" t="str">
            <v xml:space="preserve">F / S </v>
          </cell>
          <cell r="IH38" t="str">
            <v xml:space="preserve">F / S </v>
          </cell>
          <cell r="II38" t="str">
            <v xml:space="preserve">F / S </v>
          </cell>
          <cell r="IJ38" t="str">
            <v xml:space="preserve">F / S </v>
          </cell>
          <cell r="IK38" t="str">
            <v xml:space="preserve">F / S </v>
          </cell>
          <cell r="IL38" t="str">
            <v xml:space="preserve">F / S </v>
          </cell>
          <cell r="IM38" t="str">
            <v xml:space="preserve">F / S </v>
          </cell>
          <cell r="IN38" t="str">
            <v xml:space="preserve">F / S </v>
          </cell>
          <cell r="IO38" t="str">
            <v xml:space="preserve">F / S </v>
          </cell>
          <cell r="IP38" t="str">
            <v xml:space="preserve">F / S </v>
          </cell>
          <cell r="IQ38" t="str">
            <v xml:space="preserve">F / S </v>
          </cell>
          <cell r="IR38" t="str">
            <v xml:space="preserve">F / S </v>
          </cell>
          <cell r="IS38">
            <v>13.17</v>
          </cell>
          <cell r="IT38">
            <v>13.17</v>
          </cell>
          <cell r="IU38">
            <v>13.18</v>
          </cell>
          <cell r="IV38">
            <v>13.18</v>
          </cell>
          <cell r="IW38">
            <v>13.21</v>
          </cell>
          <cell r="IX38">
            <v>13.24</v>
          </cell>
          <cell r="IY38">
            <v>13.28</v>
          </cell>
          <cell r="IZ38">
            <v>13.31</v>
          </cell>
          <cell r="JA38">
            <v>13.34</v>
          </cell>
          <cell r="JB38">
            <v>13.37</v>
          </cell>
          <cell r="JC38">
            <v>13.4</v>
          </cell>
          <cell r="JD38">
            <v>13.42</v>
          </cell>
          <cell r="JE38">
            <v>13.42</v>
          </cell>
          <cell r="JF38">
            <v>13.43</v>
          </cell>
          <cell r="JG38">
            <v>13.43</v>
          </cell>
          <cell r="JH38">
            <v>13.44</v>
          </cell>
          <cell r="JI38">
            <v>13.48</v>
          </cell>
          <cell r="JJ38">
            <v>13.52</v>
          </cell>
          <cell r="JK38">
            <v>13.55</v>
          </cell>
          <cell r="JL38">
            <v>13.59</v>
          </cell>
          <cell r="JM38">
            <v>13.63</v>
          </cell>
          <cell r="JN38">
            <v>13.67</v>
          </cell>
          <cell r="JO38">
            <v>13.7</v>
          </cell>
          <cell r="JP38">
            <v>13.74</v>
          </cell>
          <cell r="JQ38">
            <v>13.78</v>
          </cell>
          <cell r="JR38">
            <v>13.91</v>
          </cell>
          <cell r="JS38">
            <v>14.06</v>
          </cell>
          <cell r="JT38">
            <v>14.19</v>
          </cell>
          <cell r="JU38">
            <v>14.32</v>
          </cell>
          <cell r="JV38">
            <v>14.43</v>
          </cell>
          <cell r="JW38">
            <v>14.48</v>
          </cell>
          <cell r="JX38">
            <v>14.53</v>
          </cell>
          <cell r="JY38">
            <v>14.58</v>
          </cell>
          <cell r="JZ38">
            <v>14.62</v>
          </cell>
          <cell r="KA38">
            <v>14.67</v>
          </cell>
          <cell r="KB38">
            <v>14.72</v>
          </cell>
          <cell r="KC38">
            <v>14.77</v>
          </cell>
          <cell r="KD38">
            <v>14.81</v>
          </cell>
          <cell r="KE38">
            <v>14.92</v>
          </cell>
          <cell r="KF38">
            <v>15.01</v>
          </cell>
          <cell r="KG38">
            <v>15.11</v>
          </cell>
          <cell r="KH38">
            <v>15.16</v>
          </cell>
          <cell r="KI38">
            <v>15.23</v>
          </cell>
          <cell r="KJ38">
            <v>15.3</v>
          </cell>
          <cell r="KK38">
            <v>15.38</v>
          </cell>
          <cell r="KL38">
            <v>15.45</v>
          </cell>
          <cell r="KM38">
            <v>15.52</v>
          </cell>
          <cell r="KN38">
            <v>15.59</v>
          </cell>
          <cell r="KO38">
            <v>15.66</v>
          </cell>
          <cell r="KP38">
            <v>15.68</v>
          </cell>
          <cell r="KQ38">
            <v>15.72</v>
          </cell>
          <cell r="KR38">
            <v>15.72</v>
          </cell>
          <cell r="KS38">
            <v>15.73</v>
          </cell>
          <cell r="KT38">
            <v>15.76</v>
          </cell>
          <cell r="KU38">
            <v>15.91</v>
          </cell>
          <cell r="KV38">
            <v>16.100000000000001</v>
          </cell>
          <cell r="KW38">
            <v>16.14</v>
          </cell>
          <cell r="KX38">
            <v>16.170000000000002</v>
          </cell>
          <cell r="KY38">
            <v>16.45</v>
          </cell>
          <cell r="KZ38">
            <v>16.670000000000002</v>
          </cell>
          <cell r="LA38">
            <v>17.04</v>
          </cell>
          <cell r="LB38">
            <v>17.53</v>
          </cell>
          <cell r="LC38">
            <v>18.13</v>
          </cell>
          <cell r="LD38">
            <v>18.28</v>
          </cell>
          <cell r="LE38">
            <v>18.28</v>
          </cell>
          <cell r="LF38">
            <v>18.36</v>
          </cell>
          <cell r="LG38">
            <v>18.43</v>
          </cell>
          <cell r="LH38">
            <v>18.510000000000002</v>
          </cell>
          <cell r="LI38">
            <v>18.579999999999998</v>
          </cell>
          <cell r="LJ38">
            <v>18.649999999999999</v>
          </cell>
          <cell r="LK38">
            <v>18.72</v>
          </cell>
          <cell r="LL38">
            <v>18.78</v>
          </cell>
          <cell r="LM38">
            <v>18.850000000000001</v>
          </cell>
          <cell r="LN38">
            <v>18.920000000000002</v>
          </cell>
          <cell r="LO38">
            <v>18.96</v>
          </cell>
          <cell r="LP38">
            <v>18.989999999999998</v>
          </cell>
          <cell r="LQ38">
            <v>19.02</v>
          </cell>
          <cell r="LR38">
            <v>19.05</v>
          </cell>
          <cell r="LS38">
            <v>19.079999999999998</v>
          </cell>
          <cell r="LT38">
            <v>19.11</v>
          </cell>
          <cell r="LU38">
            <v>19.14</v>
          </cell>
          <cell r="LV38">
            <v>19.170000000000002</v>
          </cell>
          <cell r="LW38">
            <v>19.2</v>
          </cell>
          <cell r="LX38">
            <v>19.25</v>
          </cell>
          <cell r="LY38">
            <v>19.3</v>
          </cell>
          <cell r="LZ38">
            <v>19.36</v>
          </cell>
          <cell r="MA38">
            <v>19.420000000000002</v>
          </cell>
          <cell r="MB38">
            <v>0</v>
          </cell>
          <cell r="MC38">
            <v>0</v>
          </cell>
          <cell r="MD38">
            <v>0</v>
          </cell>
          <cell r="ME38">
            <v>0</v>
          </cell>
          <cell r="MF38">
            <v>0</v>
          </cell>
          <cell r="MG38">
            <v>0</v>
          </cell>
          <cell r="MH38">
            <v>0</v>
          </cell>
        </row>
        <row r="39">
          <cell r="A39" t="str">
            <v>SD 12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1.3</v>
          </cell>
          <cell r="FX39">
            <v>1.77</v>
          </cell>
          <cell r="FY39">
            <v>2.25</v>
          </cell>
          <cell r="FZ39">
            <v>2.83</v>
          </cell>
          <cell r="GA39">
            <v>2.83</v>
          </cell>
          <cell r="GB39">
            <v>2.98</v>
          </cell>
          <cell r="GC39">
            <v>3.14</v>
          </cell>
          <cell r="GD39">
            <v>3.3</v>
          </cell>
          <cell r="GE39">
            <v>3.46</v>
          </cell>
          <cell r="GF39">
            <v>3.62</v>
          </cell>
          <cell r="GG39">
            <v>3.78</v>
          </cell>
          <cell r="GH39">
            <v>3.96</v>
          </cell>
          <cell r="GI39">
            <v>4.09</v>
          </cell>
          <cell r="GJ39">
            <v>4.24</v>
          </cell>
          <cell r="GK39">
            <v>4.38</v>
          </cell>
          <cell r="GL39">
            <v>4.51</v>
          </cell>
          <cell r="GM39">
            <v>4.66</v>
          </cell>
          <cell r="GN39">
            <v>4.8</v>
          </cell>
          <cell r="GO39">
            <v>4.9400000000000004</v>
          </cell>
          <cell r="GP39">
            <v>5.09</v>
          </cell>
          <cell r="GQ39">
            <v>5.48</v>
          </cell>
          <cell r="GR39">
            <v>5.93</v>
          </cell>
          <cell r="GS39">
            <v>6.34</v>
          </cell>
          <cell r="GT39">
            <v>6.68</v>
          </cell>
          <cell r="GU39">
            <v>6.88</v>
          </cell>
          <cell r="GV39">
            <v>7.03</v>
          </cell>
          <cell r="GW39">
            <v>7.15</v>
          </cell>
          <cell r="GX39">
            <v>7.32</v>
          </cell>
          <cell r="GY39">
            <v>7.48</v>
          </cell>
          <cell r="GZ39">
            <v>7.64</v>
          </cell>
          <cell r="HA39">
            <v>7.8</v>
          </cell>
          <cell r="HB39">
            <v>7.98</v>
          </cell>
          <cell r="HC39">
            <v>8.11</v>
          </cell>
          <cell r="HD39">
            <v>8.2200000000000006</v>
          </cell>
          <cell r="HE39">
            <v>8.39</v>
          </cell>
          <cell r="HF39">
            <v>8.5399999999999991</v>
          </cell>
          <cell r="HG39">
            <v>8.6999999999999993</v>
          </cell>
          <cell r="HH39">
            <v>8.8699999999999992</v>
          </cell>
          <cell r="HI39">
            <v>9.02</v>
          </cell>
          <cell r="HJ39">
            <v>9.19</v>
          </cell>
          <cell r="HK39">
            <v>9.34</v>
          </cell>
          <cell r="HL39">
            <v>9.86</v>
          </cell>
          <cell r="HM39">
            <v>10.42</v>
          </cell>
          <cell r="HN39">
            <v>11.15</v>
          </cell>
          <cell r="HO39">
            <v>11.4</v>
          </cell>
          <cell r="HP39">
            <v>11.57</v>
          </cell>
          <cell r="HQ39">
            <v>11.71</v>
          </cell>
          <cell r="HR39">
            <v>11.85</v>
          </cell>
          <cell r="HS39">
            <v>12.11</v>
          </cell>
          <cell r="HT39">
            <v>12.68</v>
          </cell>
          <cell r="HU39">
            <v>13.23</v>
          </cell>
          <cell r="HV39">
            <v>13.78</v>
          </cell>
          <cell r="HW39">
            <v>14.27</v>
          </cell>
          <cell r="HX39">
            <v>14.43</v>
          </cell>
          <cell r="HY39">
            <v>14.57</v>
          </cell>
          <cell r="HZ39">
            <v>15.14</v>
          </cell>
          <cell r="IA39">
            <v>15.7</v>
          </cell>
          <cell r="IB39">
            <v>15.7</v>
          </cell>
          <cell r="IC39">
            <v>16.22</v>
          </cell>
          <cell r="ID39">
            <v>16.38</v>
          </cell>
          <cell r="IE39">
            <v>16.54</v>
          </cell>
          <cell r="IF39">
            <v>16.68</v>
          </cell>
          <cell r="IG39">
            <v>17.010000000000002</v>
          </cell>
          <cell r="IH39">
            <v>17.54</v>
          </cell>
          <cell r="II39">
            <v>18.079999999999998</v>
          </cell>
          <cell r="IJ39">
            <v>18.47</v>
          </cell>
          <cell r="IK39">
            <v>18.66</v>
          </cell>
          <cell r="IL39">
            <v>18.850000000000001</v>
          </cell>
          <cell r="IM39">
            <v>19</v>
          </cell>
          <cell r="IN39">
            <v>19.18</v>
          </cell>
          <cell r="IO39">
            <v>19.54</v>
          </cell>
          <cell r="IP39">
            <v>19.71</v>
          </cell>
          <cell r="IQ39">
            <v>19.829999999999998</v>
          </cell>
          <cell r="IR39">
            <v>19.96</v>
          </cell>
          <cell r="IS39">
            <v>20.11</v>
          </cell>
          <cell r="IT39">
            <v>20.239999999999998</v>
          </cell>
          <cell r="IU39">
            <v>20.78</v>
          </cell>
          <cell r="IV39">
            <v>21.35</v>
          </cell>
          <cell r="IW39">
            <v>21.84</v>
          </cell>
          <cell r="IX39">
            <v>22.31</v>
          </cell>
          <cell r="IY39">
            <v>22.41</v>
          </cell>
          <cell r="IZ39">
            <v>22.48</v>
          </cell>
          <cell r="JA39">
            <v>22.55</v>
          </cell>
          <cell r="JB39">
            <v>22.64</v>
          </cell>
          <cell r="JC39">
            <v>23.17</v>
          </cell>
          <cell r="JD39">
            <v>23.75</v>
          </cell>
          <cell r="JE39">
            <v>24.21</v>
          </cell>
          <cell r="JF39">
            <v>24.36</v>
          </cell>
          <cell r="JG39">
            <v>24.51</v>
          </cell>
          <cell r="JH39">
            <v>24.66</v>
          </cell>
          <cell r="JI39">
            <v>24.8</v>
          </cell>
          <cell r="JJ39">
            <v>24.93</v>
          </cell>
          <cell r="JK39">
            <v>25.06</v>
          </cell>
          <cell r="JL39">
            <v>25.18</v>
          </cell>
          <cell r="JM39">
            <v>25.3</v>
          </cell>
          <cell r="JN39">
            <v>25.45</v>
          </cell>
          <cell r="JO39">
            <v>25.54</v>
          </cell>
          <cell r="JP39">
            <v>26.13</v>
          </cell>
          <cell r="JQ39">
            <v>26.74</v>
          </cell>
          <cell r="JR39">
            <v>27.28</v>
          </cell>
          <cell r="JS39">
            <v>27.68</v>
          </cell>
          <cell r="JT39">
            <v>27.83</v>
          </cell>
          <cell r="JU39">
            <v>27.99</v>
          </cell>
          <cell r="JV39">
            <v>28.13</v>
          </cell>
          <cell r="JW39">
            <v>28.28</v>
          </cell>
          <cell r="JX39">
            <v>28.2</v>
          </cell>
          <cell r="JY39">
            <v>28.23</v>
          </cell>
          <cell r="JZ39">
            <v>28.25</v>
          </cell>
          <cell r="KA39">
            <v>28.27</v>
          </cell>
          <cell r="KB39">
            <v>28.29</v>
          </cell>
          <cell r="KC39">
            <v>28.31</v>
          </cell>
          <cell r="KD39">
            <v>28.34</v>
          </cell>
          <cell r="KE39">
            <v>28.46</v>
          </cell>
          <cell r="KF39">
            <v>28.39</v>
          </cell>
          <cell r="KG39">
            <v>28.48</v>
          </cell>
          <cell r="KH39">
            <v>28.51</v>
          </cell>
          <cell r="KI39">
            <v>28.55</v>
          </cell>
          <cell r="KJ39">
            <v>28.6</v>
          </cell>
          <cell r="KK39">
            <v>28.66</v>
          </cell>
          <cell r="KL39">
            <v>28.71</v>
          </cell>
          <cell r="KM39">
            <v>28.77</v>
          </cell>
          <cell r="KN39">
            <v>28.96</v>
          </cell>
          <cell r="KO39">
            <v>29.15</v>
          </cell>
          <cell r="KP39">
            <v>29.22</v>
          </cell>
          <cell r="KQ39">
            <v>29.28</v>
          </cell>
          <cell r="KR39">
            <v>29.43</v>
          </cell>
          <cell r="KS39">
            <v>29.75</v>
          </cell>
          <cell r="KT39">
            <v>29.88</v>
          </cell>
          <cell r="KU39">
            <v>29.96</v>
          </cell>
          <cell r="KV39">
            <v>30.04</v>
          </cell>
          <cell r="KW39">
            <v>30.11</v>
          </cell>
          <cell r="KX39">
            <v>30.17</v>
          </cell>
          <cell r="KY39">
            <v>30.22</v>
          </cell>
          <cell r="KZ39">
            <v>30.28</v>
          </cell>
          <cell r="LA39">
            <v>30.33</v>
          </cell>
          <cell r="LB39">
            <v>30.38</v>
          </cell>
          <cell r="LC39">
            <v>30.44</v>
          </cell>
          <cell r="LD39">
            <v>30.49</v>
          </cell>
          <cell r="LE39">
            <v>30.54</v>
          </cell>
          <cell r="LF39">
            <v>30.59</v>
          </cell>
          <cell r="LG39">
            <v>30.65</v>
          </cell>
          <cell r="LH39">
            <v>30.71</v>
          </cell>
          <cell r="LI39">
            <v>30.77</v>
          </cell>
          <cell r="LJ39">
            <v>30.83</v>
          </cell>
          <cell r="LK39">
            <v>30.89</v>
          </cell>
          <cell r="LL39">
            <v>30.94</v>
          </cell>
          <cell r="LM39">
            <v>31</v>
          </cell>
          <cell r="LN39">
            <v>31.05</v>
          </cell>
          <cell r="LO39">
            <v>31.11</v>
          </cell>
          <cell r="LP39">
            <v>31.16</v>
          </cell>
          <cell r="LQ39">
            <v>31.22</v>
          </cell>
          <cell r="LR39">
            <v>31.29</v>
          </cell>
          <cell r="LS39">
            <v>31.36</v>
          </cell>
          <cell r="LT39">
            <v>31.7</v>
          </cell>
          <cell r="LU39">
            <v>31.96</v>
          </cell>
          <cell r="LV39">
            <v>32.25</v>
          </cell>
          <cell r="LW39">
            <v>32.54</v>
          </cell>
          <cell r="LX39">
            <v>32.729999999999997</v>
          </cell>
          <cell r="LY39">
            <v>32.82</v>
          </cell>
          <cell r="LZ39">
            <v>32.89</v>
          </cell>
          <cell r="MA39">
            <v>32.96</v>
          </cell>
          <cell r="MB39">
            <v>0</v>
          </cell>
          <cell r="MC39">
            <v>0</v>
          </cell>
          <cell r="MD39">
            <v>0</v>
          </cell>
          <cell r="ME39">
            <v>0</v>
          </cell>
          <cell r="MF39">
            <v>0</v>
          </cell>
          <cell r="MG39">
            <v>0</v>
          </cell>
          <cell r="MH39">
            <v>0</v>
          </cell>
        </row>
        <row r="40">
          <cell r="A40" t="str">
            <v>SD 2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2E-3</v>
          </cell>
          <cell r="DO40">
            <v>6.0000000000000001E-3</v>
          </cell>
          <cell r="DP40">
            <v>8.9999999999999993E-3</v>
          </cell>
          <cell r="DQ40">
            <v>1.2E-2</v>
          </cell>
          <cell r="DR40">
            <v>1.4999999999999999E-2</v>
          </cell>
          <cell r="DS40">
            <v>1.9E-2</v>
          </cell>
          <cell r="DT40">
            <v>2.4E-2</v>
          </cell>
          <cell r="DU40">
            <v>29.78</v>
          </cell>
          <cell r="DV40">
            <v>4.5999999999999999E-2</v>
          </cell>
          <cell r="DW40">
            <v>6.7000000000000004E-2</v>
          </cell>
          <cell r="DX40">
            <v>8.6999999999999994E-3</v>
          </cell>
          <cell r="DY40">
            <v>1.09E-2</v>
          </cell>
          <cell r="DZ40">
            <v>4.5999999999999999E-2</v>
          </cell>
          <cell r="EA40">
            <v>1.02</v>
          </cell>
          <cell r="EB40">
            <v>1.24</v>
          </cell>
          <cell r="EC40">
            <v>1.34</v>
          </cell>
          <cell r="ED40">
            <v>1.44</v>
          </cell>
          <cell r="EE40">
            <v>1.62</v>
          </cell>
          <cell r="EF40">
            <v>1.7</v>
          </cell>
          <cell r="EG40">
            <v>1.51</v>
          </cell>
          <cell r="EH40">
            <v>1.6</v>
          </cell>
          <cell r="EI40">
            <v>1.79</v>
          </cell>
          <cell r="EJ40">
            <v>1.86</v>
          </cell>
          <cell r="EK40">
            <v>1.93</v>
          </cell>
          <cell r="EL40">
            <v>1.99</v>
          </cell>
          <cell r="EM40">
            <v>2.11</v>
          </cell>
          <cell r="EN40">
            <v>2.23</v>
          </cell>
          <cell r="EO40">
            <v>2.34</v>
          </cell>
          <cell r="EP40">
            <v>2.4700000000000002</v>
          </cell>
          <cell r="EQ40">
            <v>2.77</v>
          </cell>
          <cell r="ER40">
            <v>2.92</v>
          </cell>
          <cell r="ES40">
            <v>3.02</v>
          </cell>
          <cell r="ET40">
            <v>3.22</v>
          </cell>
          <cell r="EU40">
            <v>3.65</v>
          </cell>
          <cell r="EV40">
            <v>4.08</v>
          </cell>
          <cell r="EW40">
            <v>4.2300000000000004</v>
          </cell>
          <cell r="EX40">
            <v>4.3600000000000003</v>
          </cell>
          <cell r="EY40">
            <v>4.46</v>
          </cell>
          <cell r="EZ40">
            <v>4.55</v>
          </cell>
          <cell r="FA40">
            <v>4.6399999999999997</v>
          </cell>
          <cell r="FB40">
            <v>4.7300000000000004</v>
          </cell>
          <cell r="FC40">
            <v>4.82</v>
          </cell>
          <cell r="FD40">
            <v>4.9000000000000004</v>
          </cell>
          <cell r="FE40">
            <v>4.99</v>
          </cell>
          <cell r="FF40">
            <v>5.08</v>
          </cell>
          <cell r="FG40">
            <v>5.18</v>
          </cell>
          <cell r="FH40">
            <v>5.61</v>
          </cell>
          <cell r="FI40">
            <v>6.02</v>
          </cell>
          <cell r="FJ40">
            <v>6.47</v>
          </cell>
          <cell r="FK40">
            <v>6.7</v>
          </cell>
          <cell r="FL40">
            <v>6.83</v>
          </cell>
          <cell r="FM40">
            <v>6.86</v>
          </cell>
          <cell r="FN40">
            <v>6.91</v>
          </cell>
          <cell r="FO40">
            <v>7.59</v>
          </cell>
          <cell r="FP40">
            <v>7.86</v>
          </cell>
          <cell r="FQ40">
            <v>8</v>
          </cell>
          <cell r="FR40">
            <v>8.1300000000000008</v>
          </cell>
          <cell r="FS40">
            <v>8.26</v>
          </cell>
          <cell r="FT40">
            <v>8.3699999999999992</v>
          </cell>
          <cell r="FU40">
            <v>8.48</v>
          </cell>
          <cell r="FV40">
            <v>8.74</v>
          </cell>
          <cell r="FW40">
            <v>9.23</v>
          </cell>
          <cell r="FX40">
            <v>9.64</v>
          </cell>
          <cell r="FY40">
            <v>9.7799999999999994</v>
          </cell>
          <cell r="FZ40">
            <v>10.050000000000001</v>
          </cell>
          <cell r="GA40">
            <v>10.050000000000001</v>
          </cell>
          <cell r="GB40">
            <v>10.18</v>
          </cell>
          <cell r="GC40">
            <v>10.35</v>
          </cell>
          <cell r="GD40">
            <v>10.5</v>
          </cell>
          <cell r="GE40">
            <v>10.67</v>
          </cell>
          <cell r="GF40">
            <v>11.17</v>
          </cell>
          <cell r="GG40">
            <v>11.33</v>
          </cell>
          <cell r="GH40">
            <v>11.5</v>
          </cell>
          <cell r="GI40">
            <v>11.62</v>
          </cell>
          <cell r="GJ40">
            <v>11.77</v>
          </cell>
          <cell r="GK40">
            <v>11.9</v>
          </cell>
          <cell r="GL40">
            <v>12.08</v>
          </cell>
          <cell r="GM40">
            <v>12.16</v>
          </cell>
          <cell r="GN40">
            <v>12.28</v>
          </cell>
          <cell r="GO40">
            <v>12.42</v>
          </cell>
          <cell r="GP40">
            <v>12.54</v>
          </cell>
          <cell r="GQ40">
            <v>12.67</v>
          </cell>
          <cell r="GR40">
            <v>12.79</v>
          </cell>
          <cell r="GS40">
            <v>12.92</v>
          </cell>
          <cell r="GT40">
            <v>13.04</v>
          </cell>
          <cell r="GU40">
            <v>13.17</v>
          </cell>
          <cell r="GV40">
            <v>13.3</v>
          </cell>
          <cell r="GW40">
            <v>13.4</v>
          </cell>
          <cell r="GX40">
            <v>13.53</v>
          </cell>
          <cell r="GY40">
            <v>13.81</v>
          </cell>
          <cell r="GZ40">
            <v>13.94</v>
          </cell>
          <cell r="HA40">
            <v>14.06</v>
          </cell>
          <cell r="HB40">
            <v>14.18</v>
          </cell>
          <cell r="HC40">
            <v>14.31</v>
          </cell>
          <cell r="HD40">
            <v>14.42</v>
          </cell>
          <cell r="HE40">
            <v>14.54</v>
          </cell>
          <cell r="HF40">
            <v>14.69</v>
          </cell>
          <cell r="HG40">
            <v>16.059999999999999</v>
          </cell>
          <cell r="HH40">
            <v>15.5</v>
          </cell>
          <cell r="HI40">
            <v>16.010000000000002</v>
          </cell>
          <cell r="HJ40">
            <v>16.29</v>
          </cell>
          <cell r="HK40">
            <v>16.41</v>
          </cell>
          <cell r="HL40">
            <v>16.53</v>
          </cell>
          <cell r="HM40">
            <v>16.66</v>
          </cell>
          <cell r="HN40">
            <v>16.8</v>
          </cell>
          <cell r="HO40">
            <v>16.95</v>
          </cell>
          <cell r="HP40">
            <v>17.11</v>
          </cell>
          <cell r="HQ40">
            <v>17.23</v>
          </cell>
          <cell r="HR40">
            <v>17.37</v>
          </cell>
          <cell r="HS40">
            <v>17.489999999999998</v>
          </cell>
          <cell r="HT40">
            <v>17.87</v>
          </cell>
          <cell r="HU40">
            <v>18.27</v>
          </cell>
          <cell r="HV40">
            <v>18.690000000000001</v>
          </cell>
          <cell r="HW40">
            <v>19.07</v>
          </cell>
          <cell r="HX40">
            <v>19.23</v>
          </cell>
          <cell r="HY40">
            <v>19.36</v>
          </cell>
          <cell r="HZ40">
            <v>19.48</v>
          </cell>
          <cell r="IA40">
            <v>19.61</v>
          </cell>
          <cell r="IB40">
            <v>19.61</v>
          </cell>
          <cell r="IC40">
            <v>19.7</v>
          </cell>
          <cell r="ID40">
            <v>20.059999999999999</v>
          </cell>
          <cell r="IE40">
            <v>20.47</v>
          </cell>
          <cell r="IF40">
            <v>20.55</v>
          </cell>
          <cell r="IG40">
            <v>20.64</v>
          </cell>
          <cell r="IH40">
            <v>20.81</v>
          </cell>
          <cell r="II40">
            <v>21.05</v>
          </cell>
          <cell r="IJ40">
            <v>21.17</v>
          </cell>
          <cell r="IK40">
            <v>21.29</v>
          </cell>
          <cell r="IL40">
            <v>21.42</v>
          </cell>
          <cell r="IM40">
            <v>21.53</v>
          </cell>
          <cell r="IN40">
            <v>21.9</v>
          </cell>
          <cell r="IO40">
            <v>22.39</v>
          </cell>
          <cell r="IP40">
            <v>22.73</v>
          </cell>
          <cell r="IQ40">
            <v>23.35</v>
          </cell>
          <cell r="IR40">
            <v>23.98</v>
          </cell>
          <cell r="IS40">
            <v>24.13</v>
          </cell>
          <cell r="IT40">
            <v>24.26</v>
          </cell>
          <cell r="IU40">
            <v>24.38</v>
          </cell>
          <cell r="IV40">
            <v>24.48</v>
          </cell>
          <cell r="IW40">
            <v>24.58</v>
          </cell>
          <cell r="IX40">
            <v>24.67</v>
          </cell>
          <cell r="IY40">
            <v>24.79</v>
          </cell>
          <cell r="IZ40">
            <v>24.86</v>
          </cell>
          <cell r="JA40">
            <v>24.93</v>
          </cell>
          <cell r="JB40">
            <v>25.01</v>
          </cell>
          <cell r="JC40">
            <v>25.08</v>
          </cell>
          <cell r="JD40">
            <v>25.16</v>
          </cell>
          <cell r="JE40">
            <v>25.24</v>
          </cell>
          <cell r="JF40">
            <v>25.55</v>
          </cell>
          <cell r="JG40">
            <v>26.07</v>
          </cell>
          <cell r="JH40">
            <v>26.16</v>
          </cell>
          <cell r="JI40">
            <v>26.25</v>
          </cell>
          <cell r="JJ40">
            <v>26.34</v>
          </cell>
          <cell r="JK40">
            <v>26.44</v>
          </cell>
          <cell r="JL40">
            <v>26.53</v>
          </cell>
          <cell r="JM40">
            <v>26.62</v>
          </cell>
          <cell r="JN40">
            <v>27.130000000000003</v>
          </cell>
          <cell r="JO40">
            <v>26.79</v>
          </cell>
          <cell r="JP40">
            <v>27.18</v>
          </cell>
          <cell r="JQ40">
            <v>27.7</v>
          </cell>
          <cell r="JR40">
            <v>27.86</v>
          </cell>
          <cell r="JS40">
            <v>27.93</v>
          </cell>
          <cell r="JT40">
            <v>28</v>
          </cell>
          <cell r="JU40">
            <v>28.07</v>
          </cell>
          <cell r="JV40">
            <v>28.12</v>
          </cell>
          <cell r="JW40">
            <v>28.18</v>
          </cell>
          <cell r="JX40">
            <v>28.4</v>
          </cell>
          <cell r="JY40">
            <v>28.52</v>
          </cell>
          <cell r="JZ40">
            <v>28.66</v>
          </cell>
          <cell r="KA40">
            <v>28.82</v>
          </cell>
          <cell r="KB40">
            <v>28.99</v>
          </cell>
          <cell r="KC40">
            <v>29.14</v>
          </cell>
          <cell r="KD40">
            <v>29.63</v>
          </cell>
          <cell r="KE40">
            <v>30.15</v>
          </cell>
          <cell r="KF40">
            <v>30.72</v>
          </cell>
          <cell r="KG40">
            <v>31.24</v>
          </cell>
          <cell r="KH40">
            <v>31.5</v>
          </cell>
          <cell r="KI40">
            <v>31.78</v>
          </cell>
          <cell r="KJ40">
            <v>31.94</v>
          </cell>
          <cell r="KK40">
            <v>32.22</v>
          </cell>
          <cell r="KL40">
            <v>32.619999999999997</v>
          </cell>
          <cell r="KM40" t="str">
            <v>FS</v>
          </cell>
          <cell r="KN40" t="str">
            <v>FS</v>
          </cell>
          <cell r="KO40" t="str">
            <v>FS</v>
          </cell>
          <cell r="KP40" t="str">
            <v>FS</v>
          </cell>
          <cell r="KQ40" t="str">
            <v>FS</v>
          </cell>
          <cell r="KR40" t="str">
            <v>FS</v>
          </cell>
          <cell r="KS40" t="str">
            <v>FS</v>
          </cell>
          <cell r="KT40" t="str">
            <v>FS</v>
          </cell>
          <cell r="KU40" t="str">
            <v>FS</v>
          </cell>
          <cell r="KV40">
            <v>159.28</v>
          </cell>
          <cell r="KW40">
            <v>159.53</v>
          </cell>
          <cell r="KX40">
            <v>159.62</v>
          </cell>
          <cell r="KY40">
            <v>159.88</v>
          </cell>
          <cell r="KZ40">
            <v>1.19</v>
          </cell>
          <cell r="LA40">
            <v>1.69</v>
          </cell>
          <cell r="LB40">
            <v>2.27</v>
          </cell>
          <cell r="LC40">
            <v>2.73</v>
          </cell>
          <cell r="LD40">
            <v>2.9</v>
          </cell>
          <cell r="LE40">
            <v>3.08</v>
          </cell>
          <cell r="LF40">
            <v>3.59</v>
          </cell>
          <cell r="LG40">
            <v>4.1500000000000004</v>
          </cell>
          <cell r="LH40">
            <v>4.67</v>
          </cell>
          <cell r="LI40">
            <v>5.16</v>
          </cell>
          <cell r="LJ40">
            <v>5.31</v>
          </cell>
          <cell r="LK40">
            <v>5.47</v>
          </cell>
          <cell r="LL40">
            <v>5.62</v>
          </cell>
          <cell r="LM40">
            <v>6.17</v>
          </cell>
          <cell r="LN40">
            <v>6.73</v>
          </cell>
          <cell r="LO40">
            <v>7.28</v>
          </cell>
          <cell r="LP40">
            <v>7.75</v>
          </cell>
          <cell r="LQ40">
            <v>8.31</v>
          </cell>
          <cell r="LR40">
            <v>8.4600000000000009</v>
          </cell>
          <cell r="LS40">
            <v>8.6300000000000008</v>
          </cell>
          <cell r="LT40">
            <v>9.19</v>
          </cell>
          <cell r="LU40">
            <v>9.7899999999999991</v>
          </cell>
          <cell r="LV40">
            <v>10.33</v>
          </cell>
          <cell r="LW40">
            <v>10.87</v>
          </cell>
          <cell r="LX40">
            <v>11.29</v>
          </cell>
          <cell r="LY40">
            <v>11.59</v>
          </cell>
          <cell r="LZ40">
            <v>11.74</v>
          </cell>
          <cell r="MA40">
            <v>11.98</v>
          </cell>
          <cell r="MB40">
            <v>0</v>
          </cell>
          <cell r="MC40">
            <v>0</v>
          </cell>
          <cell r="MD40">
            <v>0</v>
          </cell>
          <cell r="ME40">
            <v>0</v>
          </cell>
          <cell r="MF40">
            <v>0</v>
          </cell>
          <cell r="MG40">
            <v>0</v>
          </cell>
          <cell r="MH40">
            <v>0</v>
          </cell>
        </row>
        <row r="41">
          <cell r="A41" t="str">
            <v>SD 14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5.8999999999999999E-3</v>
          </cell>
          <cell r="DL41">
            <v>0.98</v>
          </cell>
          <cell r="DM41">
            <v>2.09</v>
          </cell>
          <cell r="DN41">
            <v>3.21</v>
          </cell>
          <cell r="DO41">
            <v>4.34</v>
          </cell>
          <cell r="DP41">
            <v>5.47</v>
          </cell>
          <cell r="DQ41">
            <v>6.49</v>
          </cell>
          <cell r="DR41">
            <v>7.61</v>
          </cell>
          <cell r="DS41">
            <v>8.7200000000000006</v>
          </cell>
          <cell r="DT41">
            <v>9.8699999999999992</v>
          </cell>
          <cell r="DU41">
            <v>10.56</v>
          </cell>
          <cell r="DV41">
            <v>11.75</v>
          </cell>
          <cell r="DW41">
            <v>12.9</v>
          </cell>
          <cell r="DX41">
            <v>13.98</v>
          </cell>
          <cell r="DY41">
            <v>15.04</v>
          </cell>
          <cell r="DZ41">
            <v>16.149999999999999</v>
          </cell>
          <cell r="EA41">
            <v>17.28</v>
          </cell>
          <cell r="EB41">
            <v>18.41</v>
          </cell>
          <cell r="EC41">
            <v>19.53</v>
          </cell>
          <cell r="ED41">
            <v>20.79</v>
          </cell>
          <cell r="EE41">
            <v>24</v>
          </cell>
          <cell r="EF41">
            <v>25</v>
          </cell>
          <cell r="EG41">
            <v>21.85</v>
          </cell>
          <cell r="EH41">
            <v>23</v>
          </cell>
          <cell r="EI41">
            <v>26.37</v>
          </cell>
          <cell r="EJ41">
            <v>27.46</v>
          </cell>
          <cell r="EK41">
            <v>28.8</v>
          </cell>
          <cell r="EL41">
            <v>29.78</v>
          </cell>
          <cell r="EM41">
            <v>20.94</v>
          </cell>
          <cell r="EN41">
            <v>32.049999999999997</v>
          </cell>
          <cell r="EO41">
            <v>33.14</v>
          </cell>
          <cell r="EP41">
            <v>34.15</v>
          </cell>
          <cell r="EQ41">
            <v>35.32</v>
          </cell>
          <cell r="ER41">
            <v>36.5</v>
          </cell>
          <cell r="ES41">
            <v>37.58</v>
          </cell>
          <cell r="ET41">
            <v>38.74</v>
          </cell>
          <cell r="EU41">
            <v>39.67</v>
          </cell>
          <cell r="EV41">
            <v>40.81</v>
          </cell>
          <cell r="EW41">
            <v>41.92</v>
          </cell>
          <cell r="EX41">
            <v>43.03</v>
          </cell>
          <cell r="EY41">
            <v>44.2</v>
          </cell>
          <cell r="EZ41">
            <v>45.29</v>
          </cell>
          <cell r="FA41">
            <v>46.43</v>
          </cell>
          <cell r="FB41">
            <v>47.63</v>
          </cell>
          <cell r="FC41">
            <v>50.12</v>
          </cell>
          <cell r="FD41">
            <v>50.85</v>
          </cell>
          <cell r="FE41">
            <v>50.94</v>
          </cell>
          <cell r="FF41">
            <v>52.07</v>
          </cell>
          <cell r="FG41">
            <v>53.21</v>
          </cell>
          <cell r="FH41">
            <v>54.33</v>
          </cell>
          <cell r="FI41">
            <v>54.95</v>
          </cell>
          <cell r="FJ41">
            <v>56.13</v>
          </cell>
          <cell r="FK41">
            <v>57.25</v>
          </cell>
          <cell r="FL41">
            <v>58.29</v>
          </cell>
          <cell r="FM41">
            <v>59.4</v>
          </cell>
          <cell r="FN41">
            <v>60.14</v>
          </cell>
          <cell r="FO41">
            <v>61.28</v>
          </cell>
          <cell r="FP41">
            <v>62.39</v>
          </cell>
          <cell r="FQ41">
            <v>63.56</v>
          </cell>
          <cell r="FR41">
            <v>64.739999999999995</v>
          </cell>
          <cell r="FS41">
            <v>65.98</v>
          </cell>
          <cell r="FT41">
            <v>67.05</v>
          </cell>
          <cell r="FU41">
            <v>68.150000000000006</v>
          </cell>
          <cell r="FV41">
            <v>69.349999999999994</v>
          </cell>
          <cell r="FW41">
            <v>70.55</v>
          </cell>
          <cell r="FX41">
            <v>71.73</v>
          </cell>
          <cell r="FY41">
            <v>72.92</v>
          </cell>
          <cell r="FZ41">
            <v>75.290000000000006</v>
          </cell>
          <cell r="GA41">
            <v>75.290000000000006</v>
          </cell>
          <cell r="GB41">
            <v>76.459999999999994</v>
          </cell>
          <cell r="GC41">
            <v>77.650000000000006</v>
          </cell>
          <cell r="GD41">
            <v>78.8</v>
          </cell>
          <cell r="GE41">
            <v>79.959999999999994</v>
          </cell>
          <cell r="GF41">
            <v>81.12</v>
          </cell>
          <cell r="GG41">
            <v>82.25</v>
          </cell>
          <cell r="GH41">
            <v>83.5</v>
          </cell>
          <cell r="GI41">
            <v>84.48</v>
          </cell>
          <cell r="GJ41">
            <v>85.64</v>
          </cell>
          <cell r="GK41">
            <v>86.71</v>
          </cell>
          <cell r="GL41">
            <v>87.75</v>
          </cell>
          <cell r="GM41">
            <v>88.95</v>
          </cell>
          <cell r="GN41">
            <v>90.08</v>
          </cell>
          <cell r="GO41">
            <v>91.29</v>
          </cell>
          <cell r="GP41">
            <v>92.44</v>
          </cell>
          <cell r="GQ41">
            <v>93.62</v>
          </cell>
          <cell r="GR41">
            <v>94.8</v>
          </cell>
          <cell r="GS41">
            <v>95.95</v>
          </cell>
          <cell r="GT41">
            <v>96.66</v>
          </cell>
          <cell r="GU41">
            <v>97.83</v>
          </cell>
          <cell r="GV41">
            <v>98.99</v>
          </cell>
          <cell r="GW41">
            <v>99.9</v>
          </cell>
          <cell r="GX41">
            <v>101.21</v>
          </cell>
          <cell r="GY41">
            <v>102.38</v>
          </cell>
          <cell r="GZ41">
            <v>103.55</v>
          </cell>
          <cell r="HA41">
            <v>104.67</v>
          </cell>
          <cell r="HB41">
            <v>105.81</v>
          </cell>
          <cell r="HC41">
            <v>107.05</v>
          </cell>
          <cell r="HD41">
            <v>108.02</v>
          </cell>
          <cell r="HE41">
            <v>109.1</v>
          </cell>
          <cell r="HF41">
            <v>110.21</v>
          </cell>
          <cell r="HG41">
            <v>111.34</v>
          </cell>
          <cell r="HH41">
            <v>112.47</v>
          </cell>
          <cell r="HI41">
            <v>113.53</v>
          </cell>
          <cell r="HJ41">
            <v>114.67</v>
          </cell>
          <cell r="HK41">
            <v>115.76</v>
          </cell>
          <cell r="HL41">
            <v>116.83</v>
          </cell>
          <cell r="HM41">
            <v>117.98</v>
          </cell>
          <cell r="HN41">
            <v>119.13</v>
          </cell>
          <cell r="HO41">
            <v>120.22</v>
          </cell>
          <cell r="HP41">
            <v>121.44</v>
          </cell>
          <cell r="HQ41">
            <v>122.51</v>
          </cell>
          <cell r="HR41">
            <v>123.66</v>
          </cell>
          <cell r="HS41">
            <v>124.87</v>
          </cell>
          <cell r="HT41">
            <v>126.02</v>
          </cell>
          <cell r="HU41">
            <v>127.12</v>
          </cell>
          <cell r="HV41">
            <v>128.24</v>
          </cell>
          <cell r="HW41">
            <v>129.25</v>
          </cell>
          <cell r="HX41">
            <v>130.5</v>
          </cell>
          <cell r="HY41">
            <v>131.56</v>
          </cell>
          <cell r="HZ41">
            <v>132.71</v>
          </cell>
          <cell r="IA41">
            <v>133.86000000000001</v>
          </cell>
          <cell r="IB41">
            <v>133.86000000000001</v>
          </cell>
          <cell r="IC41">
            <v>135.28</v>
          </cell>
          <cell r="ID41">
            <v>136.34</v>
          </cell>
          <cell r="IE41">
            <v>137.47</v>
          </cell>
          <cell r="IF41">
            <v>138.6</v>
          </cell>
          <cell r="IG41">
            <v>139.72999999999999</v>
          </cell>
          <cell r="IH41">
            <v>140.88999999999999</v>
          </cell>
          <cell r="II41">
            <v>142.05000000000001</v>
          </cell>
          <cell r="IJ41">
            <v>143.16</v>
          </cell>
          <cell r="IK41">
            <v>143.96</v>
          </cell>
          <cell r="IL41">
            <v>145.11000000000001</v>
          </cell>
          <cell r="IM41">
            <v>146.22999999999999</v>
          </cell>
          <cell r="IN41">
            <v>147.22</v>
          </cell>
          <cell r="IO41">
            <v>148</v>
          </cell>
          <cell r="IP41">
            <v>148.46</v>
          </cell>
          <cell r="IQ41">
            <v>149.35</v>
          </cell>
          <cell r="IR41">
            <v>150.36000000000001</v>
          </cell>
          <cell r="IS41">
            <v>151.58000000000001</v>
          </cell>
          <cell r="IT41">
            <v>152.65</v>
          </cell>
          <cell r="IU41">
            <v>153.76</v>
          </cell>
          <cell r="IV41">
            <v>154.91</v>
          </cell>
          <cell r="IW41">
            <v>156.01</v>
          </cell>
          <cell r="IX41">
            <v>157.16</v>
          </cell>
          <cell r="IY41">
            <v>158.44999999999999</v>
          </cell>
          <cell r="IZ41">
            <v>159.54</v>
          </cell>
          <cell r="JA41">
            <v>160.63</v>
          </cell>
          <cell r="JB41">
            <v>161.81</v>
          </cell>
          <cell r="JC41">
            <v>162.97</v>
          </cell>
          <cell r="JD41">
            <v>164.08</v>
          </cell>
          <cell r="JE41">
            <v>165.2</v>
          </cell>
          <cell r="JF41">
            <v>166.27</v>
          </cell>
          <cell r="JG41">
            <v>167.44</v>
          </cell>
          <cell r="JH41">
            <v>168.55</v>
          </cell>
          <cell r="JI41">
            <v>169.7</v>
          </cell>
          <cell r="JJ41">
            <v>170.81</v>
          </cell>
          <cell r="JK41">
            <v>171.93</v>
          </cell>
          <cell r="JL41">
            <v>173.04</v>
          </cell>
          <cell r="JM41">
            <v>174.11</v>
          </cell>
          <cell r="JN41">
            <v>175.26000000000002</v>
          </cell>
          <cell r="JO41">
            <v>176.24</v>
          </cell>
          <cell r="JP41">
            <v>177.35</v>
          </cell>
          <cell r="JQ41">
            <v>178.47</v>
          </cell>
          <cell r="JR41">
            <v>179.53</v>
          </cell>
          <cell r="JS41">
            <v>180.6</v>
          </cell>
          <cell r="JT41">
            <v>181.58</v>
          </cell>
          <cell r="JU41">
            <v>181.78</v>
          </cell>
          <cell r="JV41">
            <v>182.03</v>
          </cell>
          <cell r="JW41">
            <v>183.22</v>
          </cell>
          <cell r="JX41">
            <v>184.31</v>
          </cell>
          <cell r="JY41">
            <v>185.45</v>
          </cell>
          <cell r="JZ41">
            <v>186.51</v>
          </cell>
          <cell r="KA41">
            <v>187.28</v>
          </cell>
          <cell r="KB41">
            <v>188.53</v>
          </cell>
          <cell r="KC41">
            <v>188.81</v>
          </cell>
          <cell r="KD41">
            <v>189.9</v>
          </cell>
          <cell r="KE41">
            <v>191.07</v>
          </cell>
          <cell r="KF41">
            <v>192.2</v>
          </cell>
          <cell r="KG41">
            <v>193.33</v>
          </cell>
          <cell r="KH41">
            <v>194.35</v>
          </cell>
          <cell r="KI41">
            <v>195.46</v>
          </cell>
          <cell r="KJ41">
            <v>196.54</v>
          </cell>
          <cell r="KK41">
            <v>197.7</v>
          </cell>
          <cell r="KL41">
            <v>198.89</v>
          </cell>
          <cell r="KM41">
            <v>200.02</v>
          </cell>
          <cell r="KN41">
            <v>201.18</v>
          </cell>
          <cell r="KO41">
            <v>202.19</v>
          </cell>
          <cell r="KP41">
            <v>202.59</v>
          </cell>
          <cell r="KQ41">
            <v>204</v>
          </cell>
          <cell r="KR41">
            <v>205.18</v>
          </cell>
          <cell r="KS41">
            <v>206.33</v>
          </cell>
          <cell r="KT41">
            <v>207.48</v>
          </cell>
          <cell r="KU41">
            <v>208.59</v>
          </cell>
          <cell r="KV41">
            <v>209.65</v>
          </cell>
          <cell r="KW41">
            <v>210.83</v>
          </cell>
          <cell r="KX41">
            <v>211.95</v>
          </cell>
          <cell r="KY41">
            <v>213.13</v>
          </cell>
          <cell r="KZ41">
            <v>214.23</v>
          </cell>
          <cell r="LA41">
            <v>215.36</v>
          </cell>
          <cell r="LB41">
            <v>216.51</v>
          </cell>
          <cell r="LC41">
            <v>217.59</v>
          </cell>
          <cell r="LD41">
            <v>218.68</v>
          </cell>
          <cell r="LE41">
            <v>219.79</v>
          </cell>
          <cell r="LF41">
            <v>220.93</v>
          </cell>
          <cell r="LG41">
            <v>222.08</v>
          </cell>
          <cell r="LH41">
            <v>223.36</v>
          </cell>
          <cell r="LI41">
            <v>224.45</v>
          </cell>
          <cell r="LJ41">
            <v>225.45</v>
          </cell>
          <cell r="LK41">
            <v>226.64</v>
          </cell>
          <cell r="LL41">
            <v>227.8</v>
          </cell>
          <cell r="LM41">
            <v>228.94</v>
          </cell>
          <cell r="LN41">
            <v>230.03</v>
          </cell>
          <cell r="LO41">
            <v>231.17</v>
          </cell>
          <cell r="LP41">
            <v>232.4</v>
          </cell>
          <cell r="LQ41">
            <v>233.09</v>
          </cell>
          <cell r="LR41">
            <v>234.21</v>
          </cell>
          <cell r="LS41">
            <v>235.38</v>
          </cell>
          <cell r="LT41">
            <v>236.52</v>
          </cell>
          <cell r="LU41">
            <v>237.65</v>
          </cell>
          <cell r="LV41">
            <v>238.75</v>
          </cell>
          <cell r="LW41">
            <v>239.86</v>
          </cell>
          <cell r="LX41">
            <v>241.09</v>
          </cell>
          <cell r="LY41">
            <v>242.09</v>
          </cell>
          <cell r="LZ41">
            <v>243.14</v>
          </cell>
          <cell r="MA41">
            <v>244.24</v>
          </cell>
          <cell r="MB41">
            <v>0</v>
          </cell>
          <cell r="MC41">
            <v>0</v>
          </cell>
          <cell r="MD41">
            <v>0</v>
          </cell>
          <cell r="ME41">
            <v>0</v>
          </cell>
          <cell r="MF41">
            <v>0</v>
          </cell>
          <cell r="MG41">
            <v>0</v>
          </cell>
          <cell r="MH41">
            <v>0</v>
          </cell>
        </row>
        <row r="42">
          <cell r="A42" t="str">
            <v>SD 16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174</v>
          </cell>
          <cell r="FV42">
            <v>869</v>
          </cell>
          <cell r="FW42">
            <v>1.57</v>
          </cell>
          <cell r="FX42">
            <v>2.2799999999999998</v>
          </cell>
          <cell r="FY42">
            <v>2.98</v>
          </cell>
          <cell r="FZ42">
            <v>3.29</v>
          </cell>
          <cell r="GA42">
            <v>3.29</v>
          </cell>
          <cell r="GB42">
            <v>3.4</v>
          </cell>
          <cell r="GC42">
            <v>4.07</v>
          </cell>
          <cell r="GD42">
            <v>4.74</v>
          </cell>
          <cell r="GE42">
            <v>5.43</v>
          </cell>
          <cell r="GF42">
            <v>5.99</v>
          </cell>
          <cell r="GG42">
            <v>6.08</v>
          </cell>
          <cell r="GH42">
            <v>6.17</v>
          </cell>
          <cell r="GI42">
            <v>6.26</v>
          </cell>
          <cell r="GJ42">
            <v>6.95</v>
          </cell>
          <cell r="GK42">
            <v>7.64</v>
          </cell>
          <cell r="GL42">
            <v>8.26</v>
          </cell>
          <cell r="GM42">
            <v>8.94</v>
          </cell>
          <cell r="GN42">
            <v>9.14</v>
          </cell>
          <cell r="GO42">
            <v>9.25</v>
          </cell>
          <cell r="GP42">
            <v>9.36</v>
          </cell>
          <cell r="GQ42">
            <v>10.050000000000001</v>
          </cell>
          <cell r="GR42">
            <v>10.75</v>
          </cell>
          <cell r="GS42">
            <v>11.45</v>
          </cell>
          <cell r="GT42">
            <v>11.59</v>
          </cell>
          <cell r="GU42">
            <v>11.7</v>
          </cell>
          <cell r="GV42">
            <v>11.8</v>
          </cell>
          <cell r="GW42">
            <v>11.9</v>
          </cell>
          <cell r="GX42">
            <v>12.6</v>
          </cell>
          <cell r="GY42">
            <v>13.29</v>
          </cell>
          <cell r="GZ42">
            <v>13.99</v>
          </cell>
          <cell r="HA42">
            <v>14.46</v>
          </cell>
          <cell r="HB42">
            <v>14.57</v>
          </cell>
          <cell r="HC42">
            <v>14.67</v>
          </cell>
          <cell r="HD42">
            <v>14.76</v>
          </cell>
          <cell r="HE42">
            <v>15.42</v>
          </cell>
          <cell r="HF42">
            <v>16.059999999999999</v>
          </cell>
          <cell r="HG42">
            <v>16.72</v>
          </cell>
          <cell r="HH42">
            <v>17.09</v>
          </cell>
          <cell r="HI42">
            <v>17.2</v>
          </cell>
          <cell r="HJ42">
            <v>17.309999999999999</v>
          </cell>
          <cell r="HK42">
            <v>17.36</v>
          </cell>
          <cell r="HL42">
            <v>17.53</v>
          </cell>
          <cell r="HM42">
            <v>18.14</v>
          </cell>
          <cell r="HN42">
            <v>18.78</v>
          </cell>
          <cell r="HO42">
            <v>19.41</v>
          </cell>
          <cell r="HP42">
            <v>20.05</v>
          </cell>
          <cell r="HQ42">
            <v>20.16</v>
          </cell>
          <cell r="HR42">
            <v>20.27</v>
          </cell>
          <cell r="HS42">
            <v>20.94</v>
          </cell>
          <cell r="HT42">
            <v>21.62</v>
          </cell>
          <cell r="HU42">
            <v>22.29</v>
          </cell>
          <cell r="HV42">
            <v>22.86</v>
          </cell>
          <cell r="HW42">
            <v>22.97</v>
          </cell>
          <cell r="HX42">
            <v>23.09</v>
          </cell>
          <cell r="HY42">
            <v>23.18</v>
          </cell>
          <cell r="HZ42">
            <v>23.85</v>
          </cell>
          <cell r="IA42">
            <v>24.52</v>
          </cell>
          <cell r="IB42">
            <v>24.52</v>
          </cell>
          <cell r="IC42">
            <v>25.24</v>
          </cell>
          <cell r="ID42">
            <v>25.36</v>
          </cell>
          <cell r="IE42">
            <v>25.48</v>
          </cell>
          <cell r="IF42">
            <v>25.58</v>
          </cell>
          <cell r="IG42">
            <v>26.26</v>
          </cell>
          <cell r="IH42">
            <v>26.95</v>
          </cell>
          <cell r="II42">
            <v>27.6</v>
          </cell>
          <cell r="IJ42">
            <v>28.19</v>
          </cell>
          <cell r="IK42">
            <v>28.5</v>
          </cell>
          <cell r="IL42">
            <v>28.63</v>
          </cell>
          <cell r="IM42">
            <v>28.76</v>
          </cell>
          <cell r="IN42">
            <v>29.37</v>
          </cell>
          <cell r="IO42">
            <v>29.94</v>
          </cell>
          <cell r="IP42">
            <v>30.21</v>
          </cell>
          <cell r="IQ42">
            <v>30.71</v>
          </cell>
          <cell r="IR42">
            <v>31.32</v>
          </cell>
          <cell r="IS42">
            <v>31.47</v>
          </cell>
          <cell r="IT42">
            <v>31.58</v>
          </cell>
          <cell r="IU42">
            <v>32.25</v>
          </cell>
          <cell r="IV42">
            <v>32.97</v>
          </cell>
          <cell r="IW42">
            <v>33.68</v>
          </cell>
          <cell r="IX42">
            <v>34.42</v>
          </cell>
          <cell r="IY42">
            <v>35.08</v>
          </cell>
          <cell r="IZ42">
            <v>35.19</v>
          </cell>
          <cell r="JA42">
            <v>35.31</v>
          </cell>
          <cell r="JB42">
            <v>36.04</v>
          </cell>
          <cell r="JC42">
            <v>36.74</v>
          </cell>
          <cell r="JD42">
            <v>37.479999999999997</v>
          </cell>
          <cell r="JE42">
            <v>38.200000000000003</v>
          </cell>
          <cell r="JF42">
            <v>38.39</v>
          </cell>
          <cell r="JG42">
            <v>38.49</v>
          </cell>
          <cell r="JH42">
            <v>38.58</v>
          </cell>
          <cell r="JI42">
            <v>39.28</v>
          </cell>
          <cell r="JJ42">
            <v>39.979999999999997</v>
          </cell>
          <cell r="JK42">
            <v>40.68</v>
          </cell>
          <cell r="JL42">
            <v>41.25</v>
          </cell>
          <cell r="JM42">
            <v>41.58</v>
          </cell>
          <cell r="JN42">
            <v>41.69</v>
          </cell>
          <cell r="JO42">
            <v>41.81</v>
          </cell>
          <cell r="JP42">
            <v>42.43</v>
          </cell>
          <cell r="JQ42">
            <v>43.11</v>
          </cell>
          <cell r="JR42">
            <v>43.77</v>
          </cell>
          <cell r="JS42">
            <v>44.46</v>
          </cell>
          <cell r="JT42">
            <v>45.11</v>
          </cell>
          <cell r="JU42">
            <v>45.8</v>
          </cell>
          <cell r="JV42">
            <v>46.41</v>
          </cell>
          <cell r="JW42">
            <v>47.13</v>
          </cell>
          <cell r="JX42">
            <v>47.8</v>
          </cell>
          <cell r="JY42">
            <v>48.43</v>
          </cell>
          <cell r="JZ42">
            <v>48.53</v>
          </cell>
          <cell r="KA42">
            <v>48.66</v>
          </cell>
          <cell r="KB42">
            <v>49.43</v>
          </cell>
          <cell r="KC42">
            <v>49.63</v>
          </cell>
          <cell r="KD42">
            <v>50.3</v>
          </cell>
          <cell r="KE42">
            <v>51.03</v>
          </cell>
          <cell r="KF42">
            <v>51.75</v>
          </cell>
          <cell r="KG42">
            <v>52.37</v>
          </cell>
          <cell r="KH42">
            <v>52.98</v>
          </cell>
          <cell r="KI42">
            <v>53.66</v>
          </cell>
          <cell r="KJ42">
            <v>54.32</v>
          </cell>
          <cell r="KK42">
            <v>55.06</v>
          </cell>
          <cell r="KL42">
            <v>55.68</v>
          </cell>
          <cell r="KM42">
            <v>56.25</v>
          </cell>
          <cell r="KN42">
            <v>56.94</v>
          </cell>
          <cell r="KO42">
            <v>57.54</v>
          </cell>
          <cell r="KP42">
            <v>57.839999999999996</v>
          </cell>
          <cell r="KQ42">
            <v>58.62</v>
          </cell>
          <cell r="KR42">
            <v>59.32</v>
          </cell>
          <cell r="KS42">
            <v>60.03</v>
          </cell>
          <cell r="KT42">
            <v>60.69</v>
          </cell>
          <cell r="KU42">
            <v>61.3</v>
          </cell>
          <cell r="KV42">
            <v>62.03</v>
          </cell>
          <cell r="KW42">
            <v>62.72</v>
          </cell>
          <cell r="KX42">
            <v>63.39</v>
          </cell>
          <cell r="KY42">
            <v>64.099999999999994</v>
          </cell>
          <cell r="KZ42">
            <v>64.8</v>
          </cell>
          <cell r="LA42">
            <v>65.47</v>
          </cell>
          <cell r="LB42">
            <v>66.13</v>
          </cell>
          <cell r="LC42">
            <v>66.87</v>
          </cell>
          <cell r="LD42">
            <v>67.59</v>
          </cell>
          <cell r="LE42" t="str">
            <v>X</v>
          </cell>
          <cell r="LF42">
            <v>68.08</v>
          </cell>
          <cell r="LG42">
            <v>68.77</v>
          </cell>
          <cell r="LH42">
            <v>69.45</v>
          </cell>
          <cell r="LI42">
            <v>70.010000000000005</v>
          </cell>
          <cell r="LJ42">
            <v>70.73</v>
          </cell>
          <cell r="LK42">
            <v>71.45</v>
          </cell>
          <cell r="LL42">
            <v>72.13</v>
          </cell>
          <cell r="LM42">
            <v>72.81</v>
          </cell>
          <cell r="LN42">
            <v>73.48</v>
          </cell>
          <cell r="LO42">
            <v>74.150000000000006</v>
          </cell>
          <cell r="LP42">
            <v>74.739999999999995</v>
          </cell>
          <cell r="LQ42">
            <v>75.5</v>
          </cell>
          <cell r="LR42">
            <v>76.19</v>
          </cell>
          <cell r="LS42">
            <v>76.87</v>
          </cell>
          <cell r="LT42">
            <v>77.47</v>
          </cell>
          <cell r="LU42">
            <v>78.099999999999994</v>
          </cell>
          <cell r="LV42">
            <v>78.81</v>
          </cell>
          <cell r="LW42">
            <v>79.459999999999994</v>
          </cell>
          <cell r="LX42">
            <v>80.36</v>
          </cell>
          <cell r="LY42">
            <v>80.89</v>
          </cell>
          <cell r="LZ42">
            <v>81.489999999999995</v>
          </cell>
          <cell r="MA42">
            <v>82.23</v>
          </cell>
          <cell r="MB42">
            <v>0</v>
          </cell>
          <cell r="MC42">
            <v>0</v>
          </cell>
          <cell r="MD42">
            <v>0</v>
          </cell>
          <cell r="ME42">
            <v>0</v>
          </cell>
          <cell r="MF42">
            <v>0</v>
          </cell>
          <cell r="MG42">
            <v>0</v>
          </cell>
          <cell r="MH42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R. 2019 SUR"/>
      <sheetName val="I.R. 2019 NORTE"/>
      <sheetName val="SD 21"/>
      <sheetName val="SD 22"/>
      <sheetName val="SD 29"/>
      <sheetName val="SD 41"/>
      <sheetName val="SD 24"/>
      <sheetName val="SD 42-26"/>
      <sheetName val="SD 27"/>
      <sheetName val="SD 40"/>
      <sheetName val="SD 44"/>
      <sheetName val="SD46"/>
      <sheetName val="SD 47"/>
      <sheetName val="SD 43"/>
      <sheetName val="SD 45"/>
      <sheetName val="SD 50"/>
      <sheetName val="COMBINER"/>
      <sheetName val="KDF"/>
      <sheetName val="FILTROMAT´s"/>
      <sheetName val="FILTROS SOLARIS"/>
      <sheetName val="FILTROS F10"/>
      <sheetName val="SD 01"/>
      <sheetName val="SD 03"/>
      <sheetName val="SD 13"/>
      <sheetName val="SD 06"/>
      <sheetName val="SD 07"/>
      <sheetName val="SD 5 (2)"/>
      <sheetName val="SD 12"/>
      <sheetName val="SD 5"/>
      <sheetName val="SD 14"/>
      <sheetName val="SD 49"/>
      <sheetName val="MODULOS CANADA - NORTE"/>
      <sheetName val="MOdulos y Pizarras"/>
      <sheetName val="SD"/>
    </sheetNames>
    <sheetDataSet>
      <sheetData sheetId="0" refreshError="1"/>
      <sheetData sheetId="1" refreshError="1"/>
      <sheetData sheetId="2" refreshError="1">
        <row r="1">
          <cell r="B1" t="str">
            <v>MODULO   21</v>
          </cell>
        </row>
        <row r="2">
          <cell r="B2" t="str">
            <v>Fecha</v>
          </cell>
        </row>
        <row r="3">
          <cell r="B3">
            <v>43391</v>
          </cell>
        </row>
        <row r="4">
          <cell r="B4">
            <v>43392</v>
          </cell>
        </row>
        <row r="5">
          <cell r="B5">
            <v>43393</v>
          </cell>
        </row>
        <row r="6">
          <cell r="B6">
            <v>43394</v>
          </cell>
        </row>
        <row r="7">
          <cell r="B7">
            <v>43395</v>
          </cell>
        </row>
        <row r="8">
          <cell r="B8">
            <v>43396</v>
          </cell>
        </row>
        <row r="9">
          <cell r="B9">
            <v>43397</v>
          </cell>
        </row>
        <row r="10">
          <cell r="B10">
            <v>43398</v>
          </cell>
        </row>
        <row r="11">
          <cell r="B11">
            <v>43399</v>
          </cell>
        </row>
        <row r="12">
          <cell r="B12">
            <v>43400</v>
          </cell>
        </row>
        <row r="13">
          <cell r="B13">
            <v>43401</v>
          </cell>
        </row>
        <row r="14">
          <cell r="B14">
            <v>43402</v>
          </cell>
        </row>
        <row r="15">
          <cell r="B15">
            <v>43403</v>
          </cell>
        </row>
        <row r="16">
          <cell r="B16">
            <v>43404</v>
          </cell>
        </row>
        <row r="17">
          <cell r="B17">
            <v>43405</v>
          </cell>
        </row>
        <row r="18">
          <cell r="B18">
            <v>43406</v>
          </cell>
        </row>
        <row r="19">
          <cell r="B19">
            <v>43407</v>
          </cell>
        </row>
        <row r="20">
          <cell r="B20">
            <v>43408</v>
          </cell>
        </row>
        <row r="21">
          <cell r="B21">
            <v>43409</v>
          </cell>
        </row>
        <row r="22">
          <cell r="B22">
            <v>43410</v>
          </cell>
        </row>
        <row r="23">
          <cell r="B23">
            <v>43411</v>
          </cell>
        </row>
        <row r="24">
          <cell r="B24">
            <v>43412</v>
          </cell>
        </row>
        <row r="25">
          <cell r="B25">
            <v>43413</v>
          </cell>
        </row>
        <row r="26">
          <cell r="B26">
            <v>43414</v>
          </cell>
        </row>
        <row r="27">
          <cell r="B27">
            <v>43415</v>
          </cell>
        </row>
        <row r="28">
          <cell r="B28">
            <v>43416</v>
          </cell>
        </row>
        <row r="29">
          <cell r="B29">
            <v>43417</v>
          </cell>
        </row>
        <row r="30">
          <cell r="B30">
            <v>43418</v>
          </cell>
        </row>
        <row r="31">
          <cell r="B31">
            <v>43419</v>
          </cell>
        </row>
        <row r="32">
          <cell r="B32">
            <v>43420</v>
          </cell>
        </row>
        <row r="33">
          <cell r="B33">
            <v>43421</v>
          </cell>
        </row>
        <row r="34">
          <cell r="B34">
            <v>43422</v>
          </cell>
        </row>
        <row r="35">
          <cell r="B35">
            <v>43423</v>
          </cell>
        </row>
        <row r="36">
          <cell r="B36">
            <v>43424</v>
          </cell>
        </row>
        <row r="37">
          <cell r="B37">
            <v>43425</v>
          </cell>
        </row>
        <row r="38">
          <cell r="B38">
            <v>43426</v>
          </cell>
        </row>
        <row r="39">
          <cell r="B39">
            <v>43427</v>
          </cell>
        </row>
        <row r="40">
          <cell r="B40">
            <v>43428</v>
          </cell>
        </row>
        <row r="41">
          <cell r="B41">
            <v>43429</v>
          </cell>
        </row>
        <row r="42">
          <cell r="B42">
            <v>43430</v>
          </cell>
        </row>
        <row r="43">
          <cell r="B43">
            <v>43431</v>
          </cell>
        </row>
        <row r="44">
          <cell r="B44">
            <v>43432</v>
          </cell>
        </row>
        <row r="45">
          <cell r="B45">
            <v>43433</v>
          </cell>
        </row>
        <row r="46">
          <cell r="B46">
            <v>43434</v>
          </cell>
        </row>
        <row r="47">
          <cell r="B47">
            <v>43435</v>
          </cell>
        </row>
        <row r="48">
          <cell r="B48">
            <v>43436</v>
          </cell>
        </row>
        <row r="49">
          <cell r="B49">
            <v>43437</v>
          </cell>
        </row>
        <row r="50">
          <cell r="B50">
            <v>43438</v>
          </cell>
        </row>
        <row r="51">
          <cell r="B51">
            <v>43439</v>
          </cell>
        </row>
        <row r="52">
          <cell r="B52">
            <v>43440</v>
          </cell>
        </row>
        <row r="53">
          <cell r="B53">
            <v>43441</v>
          </cell>
        </row>
        <row r="54">
          <cell r="B54">
            <v>43442</v>
          </cell>
        </row>
        <row r="55">
          <cell r="B55">
            <v>43443</v>
          </cell>
        </row>
        <row r="56">
          <cell r="B56">
            <v>43444</v>
          </cell>
        </row>
        <row r="57">
          <cell r="B57">
            <v>43445</v>
          </cell>
        </row>
        <row r="58">
          <cell r="B58">
            <v>43446</v>
          </cell>
        </row>
        <row r="59">
          <cell r="B59">
            <v>43447</v>
          </cell>
        </row>
        <row r="60">
          <cell r="B60">
            <v>43448</v>
          </cell>
        </row>
        <row r="61">
          <cell r="B61">
            <v>43449</v>
          </cell>
        </row>
        <row r="62">
          <cell r="B62">
            <v>43450</v>
          </cell>
        </row>
        <row r="63">
          <cell r="B63">
            <v>43451</v>
          </cell>
        </row>
        <row r="64">
          <cell r="B64">
            <v>43452</v>
          </cell>
        </row>
        <row r="65">
          <cell r="B65">
            <v>43453</v>
          </cell>
        </row>
        <row r="66">
          <cell r="B66">
            <v>43454</v>
          </cell>
        </row>
        <row r="67">
          <cell r="B67">
            <v>43455</v>
          </cell>
        </row>
        <row r="68">
          <cell r="B68">
            <v>43456</v>
          </cell>
        </row>
        <row r="69">
          <cell r="B69">
            <v>43457</v>
          </cell>
        </row>
        <row r="70">
          <cell r="B70">
            <v>43458</v>
          </cell>
        </row>
        <row r="71">
          <cell r="B71">
            <v>43459</v>
          </cell>
        </row>
        <row r="72">
          <cell r="B72">
            <v>43460</v>
          </cell>
        </row>
        <row r="73">
          <cell r="B73">
            <v>43461</v>
          </cell>
        </row>
        <row r="74">
          <cell r="B74">
            <v>43462</v>
          </cell>
        </row>
        <row r="75">
          <cell r="B75">
            <v>43463</v>
          </cell>
        </row>
        <row r="76">
          <cell r="B76">
            <v>43464</v>
          </cell>
        </row>
        <row r="77">
          <cell r="B77">
            <v>43465</v>
          </cell>
        </row>
        <row r="78">
          <cell r="B78">
            <v>43466</v>
          </cell>
        </row>
        <row r="79">
          <cell r="B79">
            <v>43467</v>
          </cell>
        </row>
        <row r="80">
          <cell r="B80">
            <v>43468</v>
          </cell>
        </row>
        <row r="81">
          <cell r="B81">
            <v>43469</v>
          </cell>
        </row>
        <row r="82">
          <cell r="B82">
            <v>43470</v>
          </cell>
        </row>
        <row r="83">
          <cell r="B83">
            <v>43471</v>
          </cell>
        </row>
        <row r="84">
          <cell r="B84">
            <v>43472</v>
          </cell>
        </row>
        <row r="85">
          <cell r="B85">
            <v>43473</v>
          </cell>
        </row>
        <row r="86">
          <cell r="B86">
            <v>43474</v>
          </cell>
        </row>
        <row r="87">
          <cell r="B87">
            <v>43475</v>
          </cell>
        </row>
        <row r="88">
          <cell r="B88">
            <v>43476</v>
          </cell>
        </row>
        <row r="89">
          <cell r="B89">
            <v>43477</v>
          </cell>
        </row>
        <row r="90">
          <cell r="B90">
            <v>43478</v>
          </cell>
        </row>
        <row r="91">
          <cell r="B91">
            <v>43479</v>
          </cell>
        </row>
        <row r="92">
          <cell r="B92">
            <v>43480</v>
          </cell>
        </row>
        <row r="93">
          <cell r="B93">
            <v>43481</v>
          </cell>
        </row>
        <row r="94">
          <cell r="B94">
            <v>43482</v>
          </cell>
        </row>
        <row r="95">
          <cell r="B95">
            <v>43483</v>
          </cell>
        </row>
        <row r="96">
          <cell r="B96">
            <v>43484</v>
          </cell>
        </row>
        <row r="97">
          <cell r="B97">
            <v>43485</v>
          </cell>
        </row>
        <row r="98">
          <cell r="B98">
            <v>43486</v>
          </cell>
        </row>
        <row r="99">
          <cell r="B99">
            <v>43487</v>
          </cell>
        </row>
        <row r="100">
          <cell r="B100">
            <v>43488</v>
          </cell>
        </row>
        <row r="101">
          <cell r="B101">
            <v>43489</v>
          </cell>
        </row>
        <row r="102">
          <cell r="B102">
            <v>43490</v>
          </cell>
        </row>
        <row r="103">
          <cell r="B103">
            <v>43491</v>
          </cell>
        </row>
        <row r="104">
          <cell r="B104">
            <v>43492</v>
          </cell>
        </row>
        <row r="105">
          <cell r="B105">
            <v>43493</v>
          </cell>
        </row>
        <row r="106">
          <cell r="B106">
            <v>43494</v>
          </cell>
        </row>
        <row r="107">
          <cell r="B107">
            <v>43495</v>
          </cell>
        </row>
        <row r="108">
          <cell r="B108">
            <v>43496</v>
          </cell>
        </row>
        <row r="109">
          <cell r="B109">
            <v>43497</v>
          </cell>
        </row>
        <row r="110">
          <cell r="B110">
            <v>43498</v>
          </cell>
        </row>
        <row r="111">
          <cell r="B111">
            <v>43499</v>
          </cell>
        </row>
        <row r="112">
          <cell r="B112">
            <v>43500</v>
          </cell>
        </row>
        <row r="113">
          <cell r="B113">
            <v>43501</v>
          </cell>
        </row>
        <row r="114">
          <cell r="B114">
            <v>43502</v>
          </cell>
        </row>
        <row r="115">
          <cell r="B115">
            <v>43503</v>
          </cell>
        </row>
        <row r="116">
          <cell r="B116">
            <v>43504</v>
          </cell>
        </row>
        <row r="117">
          <cell r="B117">
            <v>43505</v>
          </cell>
        </row>
        <row r="118">
          <cell r="B118">
            <v>43506</v>
          </cell>
        </row>
        <row r="119">
          <cell r="B119">
            <v>43507</v>
          </cell>
        </row>
        <row r="120">
          <cell r="B120">
            <v>43508</v>
          </cell>
        </row>
        <row r="121">
          <cell r="B121">
            <v>43509</v>
          </cell>
        </row>
        <row r="122">
          <cell r="B122">
            <v>43510</v>
          </cell>
        </row>
        <row r="123">
          <cell r="B123">
            <v>43511</v>
          </cell>
        </row>
        <row r="124">
          <cell r="B124">
            <v>43512</v>
          </cell>
        </row>
        <row r="125">
          <cell r="B125">
            <v>43513</v>
          </cell>
        </row>
        <row r="126">
          <cell r="B126">
            <v>43514</v>
          </cell>
        </row>
        <row r="127">
          <cell r="B127">
            <v>43515</v>
          </cell>
        </row>
        <row r="128">
          <cell r="B128">
            <v>43516</v>
          </cell>
        </row>
        <row r="129">
          <cell r="B129">
            <v>43517</v>
          </cell>
        </row>
        <row r="130">
          <cell r="B130">
            <v>43518</v>
          </cell>
        </row>
        <row r="131">
          <cell r="B131">
            <v>43519</v>
          </cell>
        </row>
        <row r="132">
          <cell r="B132">
            <v>43520</v>
          </cell>
        </row>
        <row r="133">
          <cell r="B133">
            <v>43521</v>
          </cell>
        </row>
        <row r="134">
          <cell r="B134">
            <v>43522</v>
          </cell>
        </row>
        <row r="135">
          <cell r="B135">
            <v>43523</v>
          </cell>
        </row>
        <row r="136">
          <cell r="B136">
            <v>43524</v>
          </cell>
        </row>
        <row r="137">
          <cell r="B137">
            <v>43525</v>
          </cell>
        </row>
        <row r="138">
          <cell r="B138">
            <v>43526</v>
          </cell>
        </row>
        <row r="139">
          <cell r="B139">
            <v>43527</v>
          </cell>
        </row>
        <row r="140">
          <cell r="B140">
            <v>43528</v>
          </cell>
        </row>
        <row r="141">
          <cell r="B141">
            <v>43529</v>
          </cell>
        </row>
        <row r="142">
          <cell r="B142">
            <v>43530</v>
          </cell>
        </row>
        <row r="143">
          <cell r="B143">
            <v>43531</v>
          </cell>
        </row>
        <row r="144">
          <cell r="B144">
            <v>43532</v>
          </cell>
        </row>
        <row r="145">
          <cell r="B145">
            <v>43533</v>
          </cell>
        </row>
        <row r="146">
          <cell r="B146">
            <v>43534</v>
          </cell>
        </row>
        <row r="147">
          <cell r="B147">
            <v>43535</v>
          </cell>
        </row>
        <row r="148">
          <cell r="B148">
            <v>43536</v>
          </cell>
        </row>
        <row r="149">
          <cell r="B149">
            <v>43537</v>
          </cell>
        </row>
        <row r="150">
          <cell r="B150">
            <v>43538</v>
          </cell>
        </row>
        <row r="151">
          <cell r="B151">
            <v>43539</v>
          </cell>
        </row>
        <row r="152">
          <cell r="B152">
            <v>43540</v>
          </cell>
        </row>
        <row r="153">
          <cell r="B153">
            <v>43541</v>
          </cell>
        </row>
        <row r="154">
          <cell r="B154">
            <v>43542</v>
          </cell>
        </row>
        <row r="155">
          <cell r="B155">
            <v>43543</v>
          </cell>
        </row>
        <row r="156">
          <cell r="B156">
            <v>43544</v>
          </cell>
        </row>
        <row r="157">
          <cell r="B157">
            <v>43545</v>
          </cell>
        </row>
        <row r="158">
          <cell r="B158">
            <v>43546</v>
          </cell>
        </row>
        <row r="159">
          <cell r="B159">
            <v>43547</v>
          </cell>
        </row>
        <row r="160">
          <cell r="B160">
            <v>43548</v>
          </cell>
        </row>
        <row r="161">
          <cell r="B161">
            <v>43549</v>
          </cell>
        </row>
        <row r="162">
          <cell r="B162">
            <v>43550</v>
          </cell>
        </row>
        <row r="163">
          <cell r="B163">
            <v>43551</v>
          </cell>
        </row>
        <row r="164">
          <cell r="B164">
            <v>43552</v>
          </cell>
        </row>
        <row r="165">
          <cell r="B165">
            <v>43553</v>
          </cell>
        </row>
        <row r="166">
          <cell r="B166">
            <v>43554</v>
          </cell>
        </row>
        <row r="167">
          <cell r="B167">
            <v>43555</v>
          </cell>
        </row>
        <row r="168">
          <cell r="B168">
            <v>43556</v>
          </cell>
        </row>
        <row r="169">
          <cell r="B169">
            <v>43557</v>
          </cell>
        </row>
        <row r="170">
          <cell r="B170">
            <v>43558</v>
          </cell>
        </row>
        <row r="171">
          <cell r="B171">
            <v>43559</v>
          </cell>
        </row>
        <row r="172">
          <cell r="B172">
            <v>43560</v>
          </cell>
        </row>
        <row r="173">
          <cell r="B173">
            <v>43561</v>
          </cell>
        </row>
        <row r="174">
          <cell r="B174">
            <v>43562</v>
          </cell>
        </row>
        <row r="175">
          <cell r="B175">
            <v>43563</v>
          </cell>
        </row>
        <row r="176">
          <cell r="B176">
            <v>43564</v>
          </cell>
        </row>
        <row r="177">
          <cell r="B177">
            <v>43565</v>
          </cell>
        </row>
        <row r="178">
          <cell r="B178">
            <v>43566</v>
          </cell>
        </row>
        <row r="179">
          <cell r="B179">
            <v>43567</v>
          </cell>
        </row>
        <row r="180">
          <cell r="B180">
            <v>43568</v>
          </cell>
        </row>
        <row r="181">
          <cell r="B181">
            <v>43569</v>
          </cell>
        </row>
        <row r="182">
          <cell r="B182">
            <v>43570</v>
          </cell>
        </row>
        <row r="183">
          <cell r="B183">
            <v>43571</v>
          </cell>
        </row>
        <row r="184">
          <cell r="B184">
            <v>43572</v>
          </cell>
        </row>
        <row r="185">
          <cell r="B185">
            <v>43573</v>
          </cell>
        </row>
        <row r="186">
          <cell r="B186">
            <v>43574</v>
          </cell>
        </row>
        <row r="187">
          <cell r="B187">
            <v>43575</v>
          </cell>
        </row>
        <row r="188">
          <cell r="B188">
            <v>43576</v>
          </cell>
        </row>
        <row r="189">
          <cell r="B189">
            <v>43577</v>
          </cell>
        </row>
        <row r="190">
          <cell r="B190">
            <v>43578</v>
          </cell>
        </row>
        <row r="191">
          <cell r="B191">
            <v>43579</v>
          </cell>
        </row>
        <row r="192">
          <cell r="B192">
            <v>43580</v>
          </cell>
        </row>
        <row r="193">
          <cell r="B193">
            <v>43581</v>
          </cell>
        </row>
        <row r="194">
          <cell r="B194">
            <v>43582</v>
          </cell>
        </row>
        <row r="195">
          <cell r="B195">
            <v>43583</v>
          </cell>
        </row>
        <row r="196">
          <cell r="B196">
            <v>43584</v>
          </cell>
        </row>
        <row r="197">
          <cell r="B197">
            <v>43585</v>
          </cell>
        </row>
        <row r="198">
          <cell r="B198">
            <v>43586</v>
          </cell>
        </row>
        <row r="199">
          <cell r="B199">
            <v>43587</v>
          </cell>
        </row>
        <row r="200">
          <cell r="B200">
            <v>43588</v>
          </cell>
        </row>
        <row r="201">
          <cell r="B201">
            <v>43589</v>
          </cell>
        </row>
        <row r="202">
          <cell r="B202">
            <v>43590</v>
          </cell>
        </row>
        <row r="203">
          <cell r="B203">
            <v>43591</v>
          </cell>
        </row>
        <row r="204">
          <cell r="B204">
            <v>43592</v>
          </cell>
        </row>
        <row r="205">
          <cell r="B205">
            <v>43593</v>
          </cell>
        </row>
        <row r="206">
          <cell r="B206">
            <v>43594</v>
          </cell>
        </row>
        <row r="207">
          <cell r="B207">
            <v>43595</v>
          </cell>
        </row>
        <row r="208">
          <cell r="B208">
            <v>43596</v>
          </cell>
        </row>
        <row r="209">
          <cell r="B209">
            <v>43597</v>
          </cell>
        </row>
        <row r="210">
          <cell r="B210">
            <v>43598</v>
          </cell>
        </row>
        <row r="211">
          <cell r="B211">
            <v>43599</v>
          </cell>
        </row>
        <row r="212">
          <cell r="B212">
            <v>43600</v>
          </cell>
        </row>
        <row r="213">
          <cell r="B213">
            <v>43601</v>
          </cell>
        </row>
        <row r="214">
          <cell r="B214">
            <v>43602</v>
          </cell>
        </row>
        <row r="215">
          <cell r="B215">
            <v>43603</v>
          </cell>
        </row>
        <row r="216">
          <cell r="B216">
            <v>43604</v>
          </cell>
        </row>
        <row r="217">
          <cell r="B217">
            <v>43605</v>
          </cell>
        </row>
        <row r="218">
          <cell r="B218">
            <v>43606</v>
          </cell>
        </row>
        <row r="219">
          <cell r="B219">
            <v>43607</v>
          </cell>
        </row>
        <row r="220">
          <cell r="B220">
            <v>43608</v>
          </cell>
        </row>
        <row r="221">
          <cell r="B221">
            <v>43609</v>
          </cell>
        </row>
        <row r="222">
          <cell r="B222">
            <v>43610</v>
          </cell>
        </row>
        <row r="223">
          <cell r="B223">
            <v>43611</v>
          </cell>
        </row>
        <row r="224">
          <cell r="B224">
            <v>43612</v>
          </cell>
        </row>
        <row r="225">
          <cell r="B225">
            <v>43613</v>
          </cell>
        </row>
        <row r="226">
          <cell r="B226">
            <v>43614</v>
          </cell>
        </row>
        <row r="227">
          <cell r="B227">
            <v>43615</v>
          </cell>
        </row>
        <row r="228">
          <cell r="B228">
            <v>43616</v>
          </cell>
        </row>
        <row r="229">
          <cell r="B229">
            <v>43617</v>
          </cell>
        </row>
        <row r="230">
          <cell r="B230">
            <v>43618</v>
          </cell>
        </row>
        <row r="231">
          <cell r="B231">
            <v>43619</v>
          </cell>
        </row>
        <row r="232">
          <cell r="B232">
            <v>43620</v>
          </cell>
        </row>
        <row r="233">
          <cell r="B233">
            <v>43621</v>
          </cell>
        </row>
        <row r="234">
          <cell r="B234">
            <v>43622</v>
          </cell>
        </row>
        <row r="235">
          <cell r="B235">
            <v>43623</v>
          </cell>
        </row>
        <row r="236">
          <cell r="B236">
            <v>43624</v>
          </cell>
        </row>
        <row r="237">
          <cell r="B237">
            <v>43625</v>
          </cell>
        </row>
        <row r="238">
          <cell r="B238">
            <v>43626</v>
          </cell>
        </row>
        <row r="239">
          <cell r="B239">
            <v>43627</v>
          </cell>
        </row>
        <row r="240">
          <cell r="B240">
            <v>43628</v>
          </cell>
        </row>
        <row r="241">
          <cell r="B241">
            <v>43629</v>
          </cell>
        </row>
        <row r="242">
          <cell r="B242">
            <v>43630</v>
          </cell>
        </row>
        <row r="243">
          <cell r="B243">
            <v>43631</v>
          </cell>
        </row>
        <row r="244">
          <cell r="B244">
            <v>43632</v>
          </cell>
        </row>
        <row r="245">
          <cell r="B245">
            <v>43633</v>
          </cell>
        </row>
        <row r="246">
          <cell r="B246">
            <v>43634</v>
          </cell>
        </row>
        <row r="247">
          <cell r="B247">
            <v>43635</v>
          </cell>
        </row>
        <row r="248">
          <cell r="B248">
            <v>43636</v>
          </cell>
        </row>
        <row r="249">
          <cell r="B249">
            <v>43637</v>
          </cell>
        </row>
        <row r="250">
          <cell r="B250">
            <v>43638</v>
          </cell>
        </row>
        <row r="251">
          <cell r="B251">
            <v>43639</v>
          </cell>
        </row>
        <row r="252">
          <cell r="B252">
            <v>43640</v>
          </cell>
        </row>
        <row r="253">
          <cell r="B253">
            <v>43641</v>
          </cell>
        </row>
        <row r="254">
          <cell r="B254">
            <v>43642</v>
          </cell>
        </row>
        <row r="255">
          <cell r="B255">
            <v>43643</v>
          </cell>
        </row>
        <row r="256">
          <cell r="B256">
            <v>43644</v>
          </cell>
        </row>
        <row r="257">
          <cell r="B257">
            <v>43645</v>
          </cell>
        </row>
        <row r="258">
          <cell r="B258">
            <v>43646</v>
          </cell>
        </row>
        <row r="259">
          <cell r="B259">
            <v>43647</v>
          </cell>
        </row>
        <row r="260">
          <cell r="B260">
            <v>43648</v>
          </cell>
        </row>
        <row r="261">
          <cell r="B261">
            <v>43649</v>
          </cell>
        </row>
        <row r="262">
          <cell r="B262">
            <v>43650</v>
          </cell>
        </row>
        <row r="263">
          <cell r="B263">
            <v>43651</v>
          </cell>
        </row>
        <row r="264">
          <cell r="B264">
            <v>43652</v>
          </cell>
        </row>
        <row r="265">
          <cell r="B265">
            <v>43653</v>
          </cell>
        </row>
        <row r="266">
          <cell r="B266">
            <v>43654</v>
          </cell>
        </row>
        <row r="267">
          <cell r="B267">
            <v>43655</v>
          </cell>
        </row>
        <row r="268">
          <cell r="B268">
            <v>43656</v>
          </cell>
        </row>
        <row r="269">
          <cell r="B269">
            <v>43657</v>
          </cell>
        </row>
        <row r="270">
          <cell r="B270">
            <v>43658</v>
          </cell>
        </row>
        <row r="271">
          <cell r="B271">
            <v>43659</v>
          </cell>
        </row>
        <row r="272">
          <cell r="B272">
            <v>43660</v>
          </cell>
        </row>
        <row r="273">
          <cell r="B273">
            <v>43661</v>
          </cell>
        </row>
        <row r="274">
          <cell r="B274">
            <v>43662</v>
          </cell>
        </row>
        <row r="275">
          <cell r="B275">
            <v>43663</v>
          </cell>
        </row>
        <row r="276">
          <cell r="B276">
            <v>43664</v>
          </cell>
        </row>
        <row r="277">
          <cell r="B277">
            <v>43665</v>
          </cell>
        </row>
        <row r="278">
          <cell r="B278">
            <v>43666</v>
          </cell>
        </row>
        <row r="279">
          <cell r="B279">
            <v>43667</v>
          </cell>
        </row>
        <row r="280">
          <cell r="B280">
            <v>43668</v>
          </cell>
        </row>
        <row r="281">
          <cell r="B281">
            <v>43669</v>
          </cell>
        </row>
        <row r="282">
          <cell r="B282">
            <v>43670</v>
          </cell>
        </row>
        <row r="283">
          <cell r="B283">
            <v>43671</v>
          </cell>
        </row>
        <row r="284">
          <cell r="B284">
            <v>43672</v>
          </cell>
        </row>
        <row r="285">
          <cell r="B285">
            <v>43673</v>
          </cell>
        </row>
        <row r="286">
          <cell r="B286">
            <v>43674</v>
          </cell>
        </row>
        <row r="287">
          <cell r="B287">
            <v>43675</v>
          </cell>
        </row>
        <row r="288">
          <cell r="B288">
            <v>43676</v>
          </cell>
        </row>
        <row r="289">
          <cell r="B289">
            <v>43677</v>
          </cell>
        </row>
        <row r="290">
          <cell r="B290">
            <v>43678</v>
          </cell>
        </row>
        <row r="291">
          <cell r="B291">
            <v>43679</v>
          </cell>
        </row>
        <row r="292">
          <cell r="B292">
            <v>43680</v>
          </cell>
        </row>
        <row r="293">
          <cell r="B293">
            <v>43681</v>
          </cell>
        </row>
        <row r="294">
          <cell r="B294">
            <v>43682</v>
          </cell>
        </row>
        <row r="295">
          <cell r="B295">
            <v>43683</v>
          </cell>
        </row>
        <row r="296">
          <cell r="B296">
            <v>43684</v>
          </cell>
        </row>
        <row r="297">
          <cell r="B297">
            <v>43685</v>
          </cell>
        </row>
        <row r="298">
          <cell r="B298">
            <v>43686</v>
          </cell>
        </row>
        <row r="299">
          <cell r="B299">
            <v>43687</v>
          </cell>
        </row>
        <row r="300">
          <cell r="B300">
            <v>43688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12.98.57/FTEnergyMetrix/Reports.aspx?ReportId=740" TargetMode="External"/><Relationship Id="rId18" Type="http://schemas.openxmlformats.org/officeDocument/2006/relationships/hyperlink" Target="http://10.112.98.57/FTEnergyMetrix/Reports.aspx?ReportId=726" TargetMode="External"/><Relationship Id="rId26" Type="http://schemas.openxmlformats.org/officeDocument/2006/relationships/hyperlink" Target="http://10.112.98.57/FTEnergyMetrix/Reports.aspx?ReportId=229" TargetMode="External"/><Relationship Id="rId3" Type="http://schemas.openxmlformats.org/officeDocument/2006/relationships/hyperlink" Target="http://10.112.98.57/FTEnergyMetrix/Reports.aspx?ReportId=719" TargetMode="External"/><Relationship Id="rId21" Type="http://schemas.openxmlformats.org/officeDocument/2006/relationships/hyperlink" Target="http://10.112.98.57/FTEnergyMetrix/Reports.aspx?ReportId=807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://10.112.98.57/FTEnergyMetrix/Reports.aspx?ReportId=822" TargetMode="External"/><Relationship Id="rId12" Type="http://schemas.openxmlformats.org/officeDocument/2006/relationships/hyperlink" Target="http://10.112.98.57/FTEnergyMetrix/Reports.aspx?ReportId=926" TargetMode="External"/><Relationship Id="rId17" Type="http://schemas.openxmlformats.org/officeDocument/2006/relationships/hyperlink" Target="http://10.112.98.57/FTEnergyMetrix/Reports.aspx?ReportId=955" TargetMode="External"/><Relationship Id="rId25" Type="http://schemas.openxmlformats.org/officeDocument/2006/relationships/hyperlink" Target="http://10.112.98.57/FTEnergyMetrix/Reports.aspx?ReportId=823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://10.112.98.57/FTEnergyMetrix/Reports.aspx?ReportId=712" TargetMode="External"/><Relationship Id="rId16" Type="http://schemas.openxmlformats.org/officeDocument/2006/relationships/hyperlink" Target="http://10.112.98.57/FTEnergyMetrix/Reports.aspx?ReportId=725" TargetMode="External"/><Relationship Id="rId20" Type="http://schemas.openxmlformats.org/officeDocument/2006/relationships/hyperlink" Target="http://10.112.98.57/FTEnergyMetrix/Reports.aspx?ReportId=806" TargetMode="External"/><Relationship Id="rId29" Type="http://schemas.openxmlformats.org/officeDocument/2006/relationships/hyperlink" Target="http://10.112.98.57/FTEnergyMetrix/Reports.aspx?ReportId=717" TargetMode="External"/><Relationship Id="rId1" Type="http://schemas.openxmlformats.org/officeDocument/2006/relationships/hyperlink" Target="http://10.112.98.57/FTEnergyMetrix/Reports.aspx?ReportId=713" TargetMode="External"/><Relationship Id="rId6" Type="http://schemas.openxmlformats.org/officeDocument/2006/relationships/hyperlink" Target="http://10.112.98.57/FTEnergyMetrix/Reports.aspx?ReportId=718" TargetMode="External"/><Relationship Id="rId11" Type="http://schemas.openxmlformats.org/officeDocument/2006/relationships/hyperlink" Target="http://10.112.98.57/FTEnergyMetrix/Reports.aspx?ReportId=633" TargetMode="External"/><Relationship Id="rId24" Type="http://schemas.openxmlformats.org/officeDocument/2006/relationships/hyperlink" Target="http://10.112.98.57/FTEnergyMetrix/Reports.aspx?ReportId=811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10.112.98.57/FTEnergyMetrix/Reports.aspx?ReportId=730" TargetMode="External"/><Relationship Id="rId15" Type="http://schemas.openxmlformats.org/officeDocument/2006/relationships/hyperlink" Target="http://10.112.98.57/FTEnergyMetrix/Reports.aspx?ReportId=731" TargetMode="External"/><Relationship Id="rId23" Type="http://schemas.openxmlformats.org/officeDocument/2006/relationships/hyperlink" Target="http://10.112.98.57/FTEnergyMetrix/Reports.aspx?ReportId=815" TargetMode="External"/><Relationship Id="rId28" Type="http://schemas.openxmlformats.org/officeDocument/2006/relationships/hyperlink" Target="http://10.112.98.57/FTEnergyMetrix/Reports.aspx?ReportId=716" TargetMode="External"/><Relationship Id="rId10" Type="http://schemas.openxmlformats.org/officeDocument/2006/relationships/hyperlink" Target="http://10.112.98.57/FTEnergyMetrix/Reports.aspx?ReportId=637" TargetMode="External"/><Relationship Id="rId19" Type="http://schemas.openxmlformats.org/officeDocument/2006/relationships/hyperlink" Target="http://10.112.98.57/FTEnergyMetrix/Reports.aspx?ReportId=832" TargetMode="External"/><Relationship Id="rId31" Type="http://schemas.openxmlformats.org/officeDocument/2006/relationships/hyperlink" Target="http://10.112.98.57/FTEnergyMetrix/Reports.aspx?ReportId=927" TargetMode="External"/><Relationship Id="rId4" Type="http://schemas.openxmlformats.org/officeDocument/2006/relationships/hyperlink" Target="http://10.112.98.57/FTEnergyMetrix/Reports.aspx?ReportId=728" TargetMode="External"/><Relationship Id="rId9" Type="http://schemas.openxmlformats.org/officeDocument/2006/relationships/hyperlink" Target="http://10.112.98.57/FTEnergyMetrix/Reports.aspx?ReportId=621" TargetMode="External"/><Relationship Id="rId14" Type="http://schemas.openxmlformats.org/officeDocument/2006/relationships/hyperlink" Target="http://10.112.98.57/FTEnergyMetrix/Reports.aspx?ReportId=740" TargetMode="External"/><Relationship Id="rId22" Type="http://schemas.openxmlformats.org/officeDocument/2006/relationships/hyperlink" Target="http://10.112.98.57/FTEnergyMetrix/Reports.aspx?ReportId=814" TargetMode="External"/><Relationship Id="rId27" Type="http://schemas.openxmlformats.org/officeDocument/2006/relationships/hyperlink" Target="http://10.112.98.57/FTEnergyMetrix/Reports.aspx?ReportId=715" TargetMode="External"/><Relationship Id="rId30" Type="http://schemas.openxmlformats.org/officeDocument/2006/relationships/hyperlink" Target="http://10.112.98.57/FTEnergyMetrix/Reports.aspx?ReportId=629" TargetMode="External"/><Relationship Id="rId8" Type="http://schemas.openxmlformats.org/officeDocument/2006/relationships/hyperlink" Target="http://10.112.98.57/FTEnergyMetrix/Reports.aspx?ReportId=6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G57"/>
  <sheetViews>
    <sheetView showGridLines="0" zoomScale="90" zoomScaleNormal="90" workbookViewId="0">
      <pane xSplit="11" ySplit="2" topLeftCell="L15" activePane="bottomRight" state="frozen"/>
      <selection pane="topRight" activeCell="K1" sqref="K1"/>
      <selection pane="bottomLeft" activeCell="A3" sqref="A3"/>
      <selection pane="bottomRight" activeCell="BB21" sqref="BB21"/>
    </sheetView>
  </sheetViews>
  <sheetFormatPr baseColWidth="10" defaultColWidth="8.88671875" defaultRowHeight="14.4" outlineLevelCol="1" x14ac:dyDescent="0.3"/>
  <cols>
    <col min="2" max="2" width="33.44140625" style="359" customWidth="1"/>
    <col min="3" max="3" width="14.33203125" style="359" customWidth="1"/>
    <col min="4" max="4" width="17.44140625" style="359" hidden="1" customWidth="1"/>
    <col min="5" max="10" width="17.44140625" style="337" hidden="1" customWidth="1" outlineLevel="1"/>
    <col min="11" max="11" width="2" style="337" hidden="1" customWidth="1" outlineLevel="1"/>
    <col min="12" max="12" width="12" customWidth="1" collapsed="1"/>
    <col min="13" max="13" width="11.5546875" style="447" hidden="1" customWidth="1" outlineLevel="1"/>
    <col min="14" max="14" width="12.109375" style="447" hidden="1" customWidth="1" outlineLevel="1"/>
    <col min="15" max="15" width="12.5546875" style="447" hidden="1" customWidth="1" outlineLevel="1"/>
    <col min="16" max="19" width="11.5546875" style="447" hidden="1" customWidth="1" outlineLevel="1"/>
    <col min="20" max="20" width="8.109375" customWidth="1" collapsed="1"/>
    <col min="21" max="21" width="12.44140625" style="447" hidden="1" customWidth="1" outlineLevel="1"/>
    <col min="22" max="22" width="12.109375" style="447" hidden="1" customWidth="1" outlineLevel="1"/>
    <col min="23" max="23" width="12.5546875" style="447" hidden="1" customWidth="1" outlineLevel="1"/>
    <col min="24" max="25" width="11.5546875" style="447" hidden="1" customWidth="1" outlineLevel="1"/>
    <col min="26" max="26" width="12.44140625" style="447" hidden="1" customWidth="1" outlineLevel="1"/>
    <col min="27" max="27" width="12.109375" style="447" hidden="1" customWidth="1" outlineLevel="1"/>
    <col min="28" max="28" width="10.5546875" customWidth="1" collapsed="1"/>
    <col min="29" max="29" width="12.44140625" style="447" hidden="1" customWidth="1" outlineLevel="1"/>
    <col min="30" max="30" width="12.109375" style="447" hidden="1" customWidth="1" outlineLevel="1"/>
    <col min="31" max="31" width="12.5546875" style="447" hidden="1" customWidth="1" outlineLevel="1"/>
    <col min="32" max="32" width="12.109375" style="447" hidden="1" customWidth="1" outlineLevel="1"/>
    <col min="33" max="33" width="11.5546875" style="447" hidden="1" customWidth="1" outlineLevel="1"/>
    <col min="34" max="34" width="12.44140625" style="447" hidden="1" customWidth="1" outlineLevel="1"/>
    <col min="35" max="35" width="12.109375" style="447" hidden="1" customWidth="1" outlineLevel="1"/>
    <col min="36" max="36" width="9.109375" collapsed="1"/>
    <col min="37" max="37" width="12.44140625" style="447" hidden="1" customWidth="1" outlineLevel="1"/>
    <col min="38" max="38" width="12.109375" style="447" hidden="1" customWidth="1" outlineLevel="1"/>
    <col min="39" max="39" width="12.5546875" style="447" hidden="1" customWidth="1" outlineLevel="1"/>
    <col min="40" max="40" width="12.109375" style="447" hidden="1" customWidth="1" outlineLevel="1"/>
    <col min="41" max="41" width="11.5546875" style="447" hidden="1" customWidth="1" outlineLevel="1"/>
    <col min="42" max="42" width="12.44140625" style="447" hidden="1" customWidth="1" outlineLevel="1"/>
    <col min="43" max="43" width="12.109375" style="447" hidden="1" customWidth="1" outlineLevel="1"/>
    <col min="44" max="44" width="9.109375" collapsed="1"/>
    <col min="45" max="45" width="12.44140625" style="447" hidden="1" customWidth="1" outlineLevel="1"/>
    <col min="46" max="46" width="12.109375" style="447" hidden="1" customWidth="1" outlineLevel="1"/>
    <col min="47" max="47" width="12.5546875" style="447" hidden="1" customWidth="1" outlineLevel="1"/>
    <col min="48" max="48" width="12.109375" style="447" hidden="1" customWidth="1" outlineLevel="1"/>
    <col min="49" max="49" width="11.5546875" style="447" hidden="1" customWidth="1" outlineLevel="1"/>
    <col min="50" max="50" width="12.44140625" style="447" hidden="1" customWidth="1" outlineLevel="1"/>
    <col min="51" max="51" width="12.109375" style="447" hidden="1" customWidth="1" outlineLevel="1"/>
    <col min="52" max="52" width="9.109375" collapsed="1"/>
    <col min="53" max="53" width="12.44140625" style="447" customWidth="1" outlineLevel="1"/>
    <col min="54" max="54" width="12.109375" style="447" customWidth="1" outlineLevel="1"/>
    <col min="55" max="55" width="12.5546875" style="447" customWidth="1" outlineLevel="1"/>
    <col min="56" max="56" width="12.109375" style="447" customWidth="1" outlineLevel="1"/>
    <col min="57" max="57" width="11.5546875" style="447" customWidth="1" outlineLevel="1"/>
    <col min="58" max="58" width="12.44140625" style="447" customWidth="1" outlineLevel="1"/>
    <col min="59" max="59" width="12.109375" style="447" customWidth="1" outlineLevel="1"/>
  </cols>
  <sheetData>
    <row r="1" spans="1:59" ht="15" thickBot="1" x14ac:dyDescent="0.35">
      <c r="E1" s="746" t="s">
        <v>227</v>
      </c>
      <c r="F1" s="747"/>
      <c r="G1" s="747"/>
      <c r="H1" s="747"/>
      <c r="I1" s="747"/>
      <c r="J1" s="747"/>
      <c r="K1" s="748"/>
      <c r="M1" s="749" t="s">
        <v>233</v>
      </c>
      <c r="N1" s="750"/>
      <c r="O1" s="750"/>
      <c r="P1" s="750"/>
      <c r="Q1" s="750"/>
      <c r="R1" s="750"/>
      <c r="S1" s="751"/>
      <c r="U1" s="671" t="s">
        <v>325</v>
      </c>
      <c r="V1" s="672"/>
      <c r="W1" s="672"/>
      <c r="X1" s="672"/>
      <c r="Y1" s="672"/>
      <c r="Z1" s="672"/>
      <c r="AA1" s="673"/>
      <c r="AC1" s="671" t="s">
        <v>335</v>
      </c>
      <c r="AD1" s="672"/>
      <c r="AE1" s="672"/>
      <c r="AF1" s="672"/>
      <c r="AG1" s="672"/>
      <c r="AH1" s="672"/>
      <c r="AI1" s="673"/>
      <c r="AK1" s="671" t="s">
        <v>335</v>
      </c>
      <c r="AL1" s="672"/>
      <c r="AM1" s="672"/>
      <c r="AN1" s="672"/>
      <c r="AO1" s="672"/>
      <c r="AP1" s="672"/>
      <c r="AQ1" s="673"/>
      <c r="AS1" s="671" t="s">
        <v>335</v>
      </c>
      <c r="AT1" s="672"/>
      <c r="AU1" s="672"/>
      <c r="AV1" s="672"/>
      <c r="AW1" s="672"/>
      <c r="AX1" s="672"/>
      <c r="AY1" s="673"/>
      <c r="BA1" s="671" t="s">
        <v>335</v>
      </c>
      <c r="BB1" s="672"/>
      <c r="BC1" s="672"/>
      <c r="BD1" s="672"/>
      <c r="BE1" s="672"/>
      <c r="BF1" s="672"/>
      <c r="BG1" s="673"/>
    </row>
    <row r="2" spans="1:59" ht="15" thickBot="1" x14ac:dyDescent="0.35">
      <c r="E2" s="448"/>
      <c r="F2" s="449"/>
      <c r="G2" s="449"/>
      <c r="H2" s="449"/>
      <c r="I2" s="449"/>
      <c r="J2" s="449"/>
      <c r="K2" s="450"/>
      <c r="M2" s="448">
        <v>43899</v>
      </c>
      <c r="N2" s="449">
        <v>43900</v>
      </c>
      <c r="O2" s="449">
        <v>43901</v>
      </c>
      <c r="P2" s="449">
        <v>43902</v>
      </c>
      <c r="Q2" s="449">
        <v>43903</v>
      </c>
      <c r="R2" s="449">
        <v>43904</v>
      </c>
      <c r="S2" s="450">
        <v>43905</v>
      </c>
      <c r="U2" s="538">
        <v>43906</v>
      </c>
      <c r="V2" s="538">
        <v>43907</v>
      </c>
      <c r="W2" s="538">
        <v>43908</v>
      </c>
      <c r="X2" s="538">
        <v>43909</v>
      </c>
      <c r="Y2" s="538">
        <v>43910</v>
      </c>
      <c r="Z2" s="538">
        <v>43911</v>
      </c>
      <c r="AA2" s="538">
        <v>43912</v>
      </c>
      <c r="AC2" s="603">
        <v>43913</v>
      </c>
      <c r="AD2" s="603">
        <v>43914</v>
      </c>
      <c r="AE2" s="603">
        <v>43915</v>
      </c>
      <c r="AF2" s="603">
        <v>43916</v>
      </c>
      <c r="AG2" s="603">
        <v>43917</v>
      </c>
      <c r="AH2" s="603">
        <v>43918</v>
      </c>
      <c r="AI2" s="604">
        <v>43919</v>
      </c>
      <c r="AK2" s="603">
        <v>43920</v>
      </c>
      <c r="AL2" s="603">
        <v>43921</v>
      </c>
      <c r="AM2" s="603">
        <v>43922</v>
      </c>
      <c r="AN2" s="603">
        <v>43923</v>
      </c>
      <c r="AO2" s="603">
        <v>43924</v>
      </c>
      <c r="AP2" s="603">
        <v>43925</v>
      </c>
      <c r="AQ2" s="603">
        <v>43926</v>
      </c>
      <c r="AS2" s="603">
        <v>43955</v>
      </c>
      <c r="AT2" s="603">
        <v>43956</v>
      </c>
      <c r="AU2" s="603">
        <v>43957</v>
      </c>
      <c r="AV2" s="603">
        <v>43958</v>
      </c>
      <c r="AW2" s="603">
        <v>43959</v>
      </c>
      <c r="AX2" s="603">
        <v>43960</v>
      </c>
      <c r="AY2" s="603">
        <v>43961</v>
      </c>
      <c r="BA2" s="603">
        <v>43962</v>
      </c>
      <c r="BB2" s="603">
        <v>43963</v>
      </c>
      <c r="BC2" s="603">
        <v>43964</v>
      </c>
      <c r="BD2" s="603">
        <v>43965</v>
      </c>
      <c r="BE2" s="603">
        <v>43966</v>
      </c>
      <c r="BF2" s="603">
        <v>43967</v>
      </c>
      <c r="BG2" s="603">
        <v>43968</v>
      </c>
    </row>
    <row r="3" spans="1:59" ht="24.9" customHeight="1" thickBot="1" x14ac:dyDescent="0.35">
      <c r="A3">
        <v>35</v>
      </c>
      <c r="B3" s="756" t="s">
        <v>189</v>
      </c>
      <c r="C3" s="757"/>
      <c r="D3"/>
      <c r="E3" s="698"/>
      <c r="F3" s="699"/>
      <c r="G3" s="699"/>
      <c r="H3" s="699"/>
      <c r="I3" s="699"/>
      <c r="J3" s="699"/>
      <c r="K3" s="700"/>
      <c r="M3" s="674"/>
      <c r="N3" s="675"/>
      <c r="O3" s="675"/>
      <c r="P3" s="675"/>
      <c r="Q3" s="675"/>
      <c r="R3" s="675"/>
      <c r="S3" s="676"/>
      <c r="U3" s="698"/>
      <c r="V3" s="699"/>
      <c r="W3" s="699"/>
      <c r="X3" s="699"/>
      <c r="Y3" s="699"/>
      <c r="Z3" s="699"/>
      <c r="AA3" s="700"/>
      <c r="AC3" s="698"/>
      <c r="AD3" s="699"/>
      <c r="AE3" s="699"/>
      <c r="AF3" s="699"/>
      <c r="AG3" s="699"/>
      <c r="AH3" s="699"/>
      <c r="AI3" s="700"/>
      <c r="AK3" s="674"/>
      <c r="AL3" s="675"/>
      <c r="AM3" s="675"/>
      <c r="AN3" s="675"/>
      <c r="AO3" s="675"/>
      <c r="AP3" s="675"/>
      <c r="AQ3" s="676"/>
      <c r="AS3" s="674"/>
      <c r="AT3" s="675"/>
      <c r="AU3" s="675"/>
      <c r="AV3" s="675"/>
      <c r="AW3" s="675"/>
      <c r="AX3" s="675"/>
      <c r="AY3" s="676"/>
      <c r="BA3" s="674"/>
      <c r="BB3" s="675"/>
      <c r="BC3" s="675"/>
      <c r="BD3" s="675"/>
      <c r="BE3" s="675"/>
      <c r="BF3" s="675"/>
      <c r="BG3" s="676"/>
    </row>
    <row r="4" spans="1:59" ht="16.5" customHeight="1" thickBot="1" x14ac:dyDescent="0.35">
      <c r="A4">
        <v>36</v>
      </c>
      <c r="B4" s="545" t="s">
        <v>331</v>
      </c>
      <c r="C4" s="546">
        <v>9.6</v>
      </c>
      <c r="D4"/>
      <c r="E4" s="432"/>
      <c r="F4" s="433"/>
      <c r="G4" s="433"/>
      <c r="H4" s="433"/>
      <c r="I4" s="433"/>
      <c r="J4" s="433"/>
      <c r="K4" s="459"/>
      <c r="M4" s="479"/>
      <c r="N4" s="480"/>
      <c r="O4" s="480"/>
      <c r="P4" s="480"/>
      <c r="Q4" s="480"/>
      <c r="R4" s="480"/>
      <c r="S4" s="481"/>
      <c r="U4" s="594" t="e">
        <f t="shared" ref="U4:W4" si="0">U5+U6</f>
        <v>#DIV/0!</v>
      </c>
      <c r="V4" s="595">
        <f t="shared" si="0"/>
        <v>7.6780472414342613</v>
      </c>
      <c r="W4" s="595">
        <f t="shared" si="0"/>
        <v>6.8464108175771967</v>
      </c>
      <c r="X4" s="595">
        <f>X5+X6</f>
        <v>9.0438582504288156</v>
      </c>
      <c r="Y4" s="595">
        <f t="shared" ref="Y4:AA4" si="1">Y5+Y6</f>
        <v>12.657127193954658</v>
      </c>
      <c r="Z4" s="595">
        <f t="shared" si="1"/>
        <v>6.6820515376884408</v>
      </c>
      <c r="AA4" s="596">
        <f t="shared" si="1"/>
        <v>7.1464678964028785</v>
      </c>
      <c r="AC4" s="594">
        <f t="shared" ref="AC4:AD4" si="2">AC5+AC6</f>
        <v>7.0775467903614473</v>
      </c>
      <c r="AD4" s="595">
        <f t="shared" si="2"/>
        <v>7.2179690152980864</v>
      </c>
      <c r="AE4" s="595">
        <f t="shared" ref="AE4:AF4" si="3">AE5+AE6</f>
        <v>6.5992098828947352</v>
      </c>
      <c r="AF4" s="595">
        <f t="shared" si="3"/>
        <v>8.29776493255814</v>
      </c>
      <c r="AG4" s="595">
        <f t="shared" ref="AG4:AI4" si="4">AG5+AG6</f>
        <v>9.527692220689655</v>
      </c>
      <c r="AH4" s="595">
        <f t="shared" si="4"/>
        <v>7.5111808314049604</v>
      </c>
      <c r="AI4" s="595">
        <f t="shared" si="4"/>
        <v>12.966264088888888</v>
      </c>
      <c r="AK4" s="594">
        <f t="shared" ref="AK4:AL4" si="5">AK5+AK6</f>
        <v>8.0400467803603348</v>
      </c>
      <c r="AL4" s="595">
        <f t="shared" si="5"/>
        <v>6.6771950999999996</v>
      </c>
      <c r="AM4" s="595">
        <f t="shared" ref="AM4:AN4" si="6">AM5+AM6</f>
        <v>7.0079266326693226</v>
      </c>
      <c r="AN4" s="595">
        <f t="shared" si="6"/>
        <v>10.767621799209486</v>
      </c>
      <c r="AO4" s="595" t="e">
        <f t="shared" ref="AO4:AQ4" si="7">AO5+AO6</f>
        <v>#DIV/0!</v>
      </c>
      <c r="AP4" s="595" t="e">
        <f t="shared" si="7"/>
        <v>#DIV/0!</v>
      </c>
      <c r="AQ4" s="595" t="e">
        <f t="shared" si="7"/>
        <v>#DIV/0!</v>
      </c>
      <c r="AS4" s="594"/>
      <c r="AT4" s="595"/>
      <c r="AU4" s="595"/>
      <c r="AV4" s="595"/>
      <c r="AW4" s="595">
        <f t="shared" ref="AW4:AY4" si="8">AW5+AW6</f>
        <v>2.5963943636363633</v>
      </c>
      <c r="AX4" s="595">
        <f t="shared" si="8"/>
        <v>2.7575742044117648</v>
      </c>
      <c r="AY4" s="595">
        <f t="shared" si="8"/>
        <v>2.1298293640552992</v>
      </c>
      <c r="BA4" s="594">
        <f t="shared" ref="BA4:BB4" si="9">BA5+BA6</f>
        <v>3.2810102177142855</v>
      </c>
      <c r="BB4" s="595">
        <f t="shared" si="9"/>
        <v>5.9450118092307696</v>
      </c>
      <c r="BC4" s="595">
        <f t="shared" ref="BC4:BD4" si="10">BC5+BC6</f>
        <v>3.7579377625899277</v>
      </c>
      <c r="BD4" s="595">
        <f t="shared" si="10"/>
        <v>24.800089341646405</v>
      </c>
      <c r="BE4" s="595"/>
      <c r="BF4" s="595"/>
      <c r="BG4" s="595"/>
    </row>
    <row r="5" spans="1:59" ht="16.5" customHeight="1" thickBot="1" x14ac:dyDescent="0.35">
      <c r="A5">
        <v>39</v>
      </c>
      <c r="B5" s="541" t="s">
        <v>240</v>
      </c>
      <c r="C5" s="542"/>
      <c r="D5"/>
      <c r="E5" s="432"/>
      <c r="F5" s="433"/>
      <c r="G5" s="433"/>
      <c r="H5" s="433"/>
      <c r="I5" s="433"/>
      <c r="J5" s="433"/>
      <c r="K5" s="459"/>
      <c r="M5" s="532">
        <f>'Base de Datos'!CE99</f>
        <v>9.0149816655737709</v>
      </c>
      <c r="N5" s="530">
        <f>'Base de Datos'!CF99</f>
        <v>6.0027976014084512</v>
      </c>
      <c r="O5" s="530">
        <f>'Base de Datos'!CG99</f>
        <v>7.9542559846153846</v>
      </c>
      <c r="P5" s="530">
        <f>'Base de Datos'!CH99</f>
        <v>8.1307320266211605</v>
      </c>
      <c r="Q5" s="530">
        <f>'Base de Datos'!CI99</f>
        <v>8.4694565217391293</v>
      </c>
      <c r="R5" s="530">
        <f>'Base de Datos'!CJ99</f>
        <v>8.0959470967741929</v>
      </c>
      <c r="S5" s="533">
        <f>'Base de Datos'!CK99</f>
        <v>4.6139769536423838</v>
      </c>
      <c r="U5" s="535" t="e">
        <f>'Base de Datos'!CN99</f>
        <v>#DIV/0!</v>
      </c>
      <c r="V5" s="536">
        <f>'Base de Datos'!CO99</f>
        <v>3.2710352892430272</v>
      </c>
      <c r="W5" s="536">
        <f>'Base de Datos'!CP99</f>
        <v>2.3763395586698337</v>
      </c>
      <c r="X5" s="536">
        <f>'Base de Datos'!CQ99</f>
        <v>3.9025889536878218</v>
      </c>
      <c r="Y5" s="536">
        <f>'Base de Datos'!CR99</f>
        <v>8.5311826095717862</v>
      </c>
      <c r="Z5" s="536">
        <f>'Base de Datos'!CS99</f>
        <v>6.370895758793969</v>
      </c>
      <c r="AA5" s="537">
        <f>'Base de Datos'!CT99</f>
        <v>6.1519355223021588</v>
      </c>
      <c r="AC5" s="532">
        <f>'Base de Datos'!CW99</f>
        <v>2.0968238987951815</v>
      </c>
      <c r="AD5" s="530">
        <f>'Base de Datos'!CX99</f>
        <v>3.3474628285714281</v>
      </c>
      <c r="AE5" s="530">
        <f>'Base de Datos'!CY99</f>
        <v>3.1089467249999996</v>
      </c>
      <c r="AF5" s="530">
        <f>'Base de Datos'!CZ99</f>
        <v>3.7517184209302328</v>
      </c>
      <c r="AG5" s="530">
        <f>'Base de Datos'!DA99</f>
        <v>5.1145887724137928</v>
      </c>
      <c r="AH5" s="530">
        <f>'Base de Datos'!DB99</f>
        <v>6.0072138892561995</v>
      </c>
      <c r="AI5" s="530">
        <f>'Base de Datos'!DC99</f>
        <v>10.868486311111111</v>
      </c>
      <c r="AK5" s="532">
        <f>'Base de Datos'!DF99</f>
        <v>3.3210810259936729</v>
      </c>
      <c r="AL5" s="530">
        <f>'Base de Datos'!DG99</f>
        <v>3.1349223727272726</v>
      </c>
      <c r="AM5" s="530">
        <f>'Base de Datos'!DH99</f>
        <v>3.3462533258964142</v>
      </c>
      <c r="AN5" s="530">
        <f>'Base de Datos'!DI99</f>
        <v>6.5956059889328067</v>
      </c>
      <c r="AO5" s="530" t="e">
        <f>'Base de Datos'!DJ99</f>
        <v>#DIV/0!</v>
      </c>
      <c r="AP5" s="530" t="e">
        <f>'Base de Datos'!DK99</f>
        <v>#DIV/0!</v>
      </c>
      <c r="AQ5" s="530" t="e">
        <f>'Base de Datos'!DL99</f>
        <v>#DIV/0!</v>
      </c>
      <c r="AS5" s="532"/>
      <c r="AT5" s="530"/>
      <c r="AU5" s="530"/>
      <c r="AV5" s="530"/>
      <c r="AW5" s="530">
        <f>'Base de Datos'!DS99</f>
        <v>0.78948527272727276</v>
      </c>
      <c r="AX5" s="530">
        <f>'Base de Datos'!DT99</f>
        <v>2.3962506750000001</v>
      </c>
      <c r="AY5" s="530">
        <f>'Base de Datos'!DU99</f>
        <v>1.8367418064516128</v>
      </c>
      <c r="BA5" s="532">
        <f>'Base de Datos'!DX99</f>
        <v>3.0999816462857139</v>
      </c>
      <c r="BB5" s="530">
        <f>'Base de Datos'!DY99</f>
        <v>4.6301810400000001</v>
      </c>
      <c r="BC5" s="530">
        <f>'Base de Datos'!DZ99</f>
        <v>0.759232726618705</v>
      </c>
      <c r="BD5" s="530">
        <f>'Base de Datos'!EA99</f>
        <v>6.8038936320405785</v>
      </c>
      <c r="BE5" s="530"/>
      <c r="BF5" s="530"/>
      <c r="BG5" s="530"/>
    </row>
    <row r="6" spans="1:59" ht="16.5" customHeight="1" thickBot="1" x14ac:dyDescent="0.35">
      <c r="A6">
        <v>40</v>
      </c>
      <c r="B6" s="543" t="s">
        <v>330</v>
      </c>
      <c r="C6" s="544"/>
      <c r="D6"/>
      <c r="E6" s="494"/>
      <c r="F6" s="495"/>
      <c r="G6" s="495"/>
      <c r="H6" s="495"/>
      <c r="I6" s="495"/>
      <c r="J6" s="495"/>
      <c r="K6" s="539"/>
      <c r="M6" s="532"/>
      <c r="N6" s="530"/>
      <c r="O6" s="530"/>
      <c r="P6" s="530"/>
      <c r="Q6" s="530"/>
      <c r="R6" s="530"/>
      <c r="S6" s="533"/>
      <c r="U6" s="535" t="e">
        <f>'Base de Datos'!CN100</f>
        <v>#DIV/0!</v>
      </c>
      <c r="V6" s="536">
        <f>'Base de Datos'!CO100</f>
        <v>4.4070119521912341</v>
      </c>
      <c r="W6" s="536">
        <f>'Base de Datos'!CP100</f>
        <v>4.470071258907363</v>
      </c>
      <c r="X6" s="536">
        <f>'Base de Datos'!CQ100</f>
        <v>5.1412692967409948</v>
      </c>
      <c r="Y6" s="536">
        <f>'Base de Datos'!CR100</f>
        <v>4.1259445843828706</v>
      </c>
      <c r="Z6" s="536">
        <f>'Base de Datos'!CS100</f>
        <v>0.31115577889447232</v>
      </c>
      <c r="AA6" s="537">
        <f>'Base de Datos'!CT100</f>
        <v>0.99453237410071926</v>
      </c>
      <c r="AC6" s="532">
        <f>'Base de Datos'!CW100</f>
        <v>4.9807228915662654</v>
      </c>
      <c r="AD6" s="530">
        <f>'Base de Datos'!CX100</f>
        <v>3.8705061867266584</v>
      </c>
      <c r="AE6" s="530">
        <f>'Base de Datos'!CY100</f>
        <v>3.4902631578947361</v>
      </c>
      <c r="AF6" s="530">
        <f>'Base de Datos'!CZ100</f>
        <v>4.5460465116279067</v>
      </c>
      <c r="AG6" s="530">
        <f>'Base de Datos'!DA100</f>
        <v>4.4131034482758622</v>
      </c>
      <c r="AH6" s="530">
        <f>'Base de Datos'!DB100</f>
        <v>1.5039669421487605</v>
      </c>
      <c r="AI6" s="530">
        <f>'Base de Datos'!DC100</f>
        <v>2.0977777777777775</v>
      </c>
      <c r="AK6" s="532">
        <f>'Base de Datos'!DF100</f>
        <v>4.7189657543666614</v>
      </c>
      <c r="AL6" s="530">
        <f>'Base de Datos'!DG100</f>
        <v>3.542272727272727</v>
      </c>
      <c r="AM6" s="530">
        <f>'Base de Datos'!DH100</f>
        <v>3.6616733067729084</v>
      </c>
      <c r="AN6" s="530">
        <f>'Base de Datos'!DI100</f>
        <v>4.1720158102766796</v>
      </c>
      <c r="AO6" s="530" t="e">
        <f>'Base de Datos'!DJ100</f>
        <v>#DIV/0!</v>
      </c>
      <c r="AP6" s="530" t="e">
        <f>'Base de Datos'!DK100</f>
        <v>#DIV/0!</v>
      </c>
      <c r="AQ6" s="530" t="e">
        <f>'Base de Datos'!DL100</f>
        <v>#DIV/0!</v>
      </c>
      <c r="AS6" s="532"/>
      <c r="AT6" s="530"/>
      <c r="AU6" s="530"/>
      <c r="AV6" s="530"/>
      <c r="AW6" s="530">
        <f>'Base de Datos'!DS100</f>
        <v>1.8069090909090906</v>
      </c>
      <c r="AX6" s="530">
        <f>'Base de Datos'!DT100</f>
        <v>0.36132352941176471</v>
      </c>
      <c r="AY6" s="530">
        <f>'Base de Datos'!DU100</f>
        <v>0.2930875576036866</v>
      </c>
      <c r="BA6" s="532">
        <f>'Base de Datos'!DX100</f>
        <v>0.1810285714285714</v>
      </c>
      <c r="BB6" s="530">
        <f>'Base de Datos'!DY100</f>
        <v>1.3148307692307692</v>
      </c>
      <c r="BC6" s="530">
        <f>'Base de Datos'!DZ100</f>
        <v>2.9987050359712226</v>
      </c>
      <c r="BD6" s="530">
        <f>'Base de Datos'!EA100</f>
        <v>17.996195709605828</v>
      </c>
      <c r="BE6" s="530"/>
      <c r="BF6" s="530"/>
      <c r="BG6" s="530"/>
    </row>
    <row r="7" spans="1:59" ht="18" customHeight="1" thickBot="1" x14ac:dyDescent="0.35">
      <c r="A7">
        <v>41</v>
      </c>
      <c r="B7" s="543" t="s">
        <v>239</v>
      </c>
      <c r="C7" s="544">
        <v>4.5999999999999996</v>
      </c>
      <c r="D7"/>
      <c r="E7" s="435"/>
      <c r="F7" s="436"/>
      <c r="G7" s="436"/>
      <c r="H7" s="436"/>
      <c r="I7" s="436"/>
      <c r="J7" s="436"/>
      <c r="K7" s="458"/>
      <c r="M7" s="482">
        <f>'Base de Datos'!CE101</f>
        <v>5.9426229508196728</v>
      </c>
      <c r="N7" s="483">
        <f>'Base de Datos'!CF101</f>
        <v>3.1690140845070425</v>
      </c>
      <c r="O7" s="483">
        <f>'Base de Datos'!CG101</f>
        <v>4.615384615384615</v>
      </c>
      <c r="P7" s="483">
        <f>'Base de Datos'!CH101</f>
        <v>5.4607508532423212</v>
      </c>
      <c r="Q7" s="483">
        <f>'Base de Datos'!CI101</f>
        <v>10.144927536231883</v>
      </c>
      <c r="R7" s="483">
        <f>'Base de Datos'!CJ101</f>
        <v>10.21505376344086</v>
      </c>
      <c r="S7" s="484">
        <f>'Base de Datos'!CK101</f>
        <v>6.6225165562913908</v>
      </c>
      <c r="U7" s="482" t="e">
        <f>'Base de Datos'!CN101</f>
        <v>#DIV/0!</v>
      </c>
      <c r="V7" s="483">
        <f>'Base de Datos'!CO101</f>
        <v>4.1168658698539167</v>
      </c>
      <c r="W7" s="483">
        <f>'Base de Datos'!CP101</f>
        <v>1.2404988123515439</v>
      </c>
      <c r="X7" s="483">
        <f>'Base de Datos'!CQ101</f>
        <v>6.1749571183533449</v>
      </c>
      <c r="Y7" s="483">
        <f>'Base de Datos'!CR101</f>
        <v>8.8161209068010074</v>
      </c>
      <c r="Z7" s="483">
        <f>'Base de Datos'!CS101</f>
        <v>12.060301507537689</v>
      </c>
      <c r="AA7" s="484">
        <f>'Base de Datos'!CT101</f>
        <v>4.3165467625899279</v>
      </c>
      <c r="AC7" s="482">
        <f>'Base de Datos'!CW101</f>
        <v>4.4176706827309244</v>
      </c>
      <c r="AD7" s="483">
        <f>'Base de Datos'!CX101</f>
        <v>4.9493813273340832</v>
      </c>
      <c r="AE7" s="483">
        <f>'Base de Datos'!CY101</f>
        <v>4.4956140350877192</v>
      </c>
      <c r="AF7" s="483">
        <f>'Base de Datos'!CZ101</f>
        <v>6.5406976744186052</v>
      </c>
      <c r="AG7" s="483">
        <f>'Base de Datos'!DA101</f>
        <v>11.083743842364532</v>
      </c>
      <c r="AH7" s="483">
        <f>'Base de Datos'!DB101</f>
        <v>14.87603305785124</v>
      </c>
      <c r="AI7" s="483">
        <f>'Base de Datos'!DC101</f>
        <v>16.049382716049383</v>
      </c>
      <c r="AK7" s="482">
        <f>'Base de Datos'!DF101</f>
        <v>4.5385779122541603</v>
      </c>
      <c r="AL7" s="483">
        <f>'Base de Datos'!DG101</f>
        <v>4.4191919191919187</v>
      </c>
      <c r="AM7" s="483">
        <f>'Base de Datos'!DH101</f>
        <v>0</v>
      </c>
      <c r="AN7" s="483">
        <f>'Base de Datos'!DI101</f>
        <v>13.83399209486166</v>
      </c>
      <c r="AO7" s="483" t="e">
        <f>'Base de Datos'!DJ101</f>
        <v>#DIV/0!</v>
      </c>
      <c r="AP7" s="483" t="e">
        <f>'Base de Datos'!DK101</f>
        <v>#DIV/0!</v>
      </c>
      <c r="AQ7" s="483" t="e">
        <f>'Base de Datos'!DL101</f>
        <v>#DIV/0!</v>
      </c>
      <c r="AS7" s="482"/>
      <c r="AT7" s="483"/>
      <c r="AU7" s="483"/>
      <c r="AV7" s="483"/>
      <c r="AW7" s="483">
        <f>'Base de Datos'!DS101</f>
        <v>0</v>
      </c>
      <c r="AX7" s="483">
        <f>'Base de Datos'!DT101</f>
        <v>26.47058823529412</v>
      </c>
      <c r="AY7" s="483">
        <f>'Base de Datos'!DU101</f>
        <v>0</v>
      </c>
      <c r="BA7" s="482">
        <f>'Base de Datos'!DX101</f>
        <v>0</v>
      </c>
      <c r="BB7" s="483">
        <f>'Base de Datos'!DY101</f>
        <v>12.692307692307692</v>
      </c>
      <c r="BC7" s="483">
        <f>'Base de Datos'!DZ101</f>
        <v>2.0383693045563547</v>
      </c>
      <c r="BD7" s="483">
        <f>'Base de Datos'!EA101</f>
        <v>14.266088978125328</v>
      </c>
      <c r="BE7" s="483"/>
      <c r="BF7" s="483"/>
      <c r="BG7" s="483"/>
    </row>
    <row r="8" spans="1:59" ht="24.9" customHeight="1" thickBot="1" x14ac:dyDescent="0.35">
      <c r="A8">
        <v>42</v>
      </c>
      <c r="B8" s="744" t="s">
        <v>236</v>
      </c>
      <c r="C8" s="745"/>
      <c r="D8"/>
      <c r="E8" s="758"/>
      <c r="F8" s="759"/>
      <c r="G8" s="759"/>
      <c r="H8" s="759"/>
      <c r="I8" s="759"/>
      <c r="J8" s="759"/>
      <c r="K8" s="760"/>
      <c r="M8" s="701"/>
      <c r="N8" s="702"/>
      <c r="O8" s="702"/>
      <c r="P8" s="702"/>
      <c r="Q8" s="702"/>
      <c r="R8" s="702"/>
      <c r="S8" s="703"/>
      <c r="U8" s="701"/>
      <c r="V8" s="702"/>
      <c r="W8" s="702"/>
      <c r="X8" s="702"/>
      <c r="Y8" s="702"/>
      <c r="Z8" s="702"/>
      <c r="AA8" s="703"/>
      <c r="AC8" s="758"/>
      <c r="AD8" s="759"/>
      <c r="AE8" s="759"/>
      <c r="AF8" s="759"/>
      <c r="AG8" s="759"/>
      <c r="AH8" s="759"/>
      <c r="AI8" s="760"/>
      <c r="AK8" s="677"/>
      <c r="AL8" s="678"/>
      <c r="AM8" s="678"/>
      <c r="AN8" s="678"/>
      <c r="AO8" s="678"/>
      <c r="AP8" s="678"/>
      <c r="AQ8" s="679"/>
      <c r="AS8" s="677"/>
      <c r="AT8" s="678"/>
      <c r="AU8" s="678"/>
      <c r="AV8" s="678"/>
      <c r="AW8" s="678"/>
      <c r="AX8" s="678"/>
      <c r="AY8" s="679"/>
      <c r="BA8" s="677"/>
      <c r="BB8" s="678"/>
      <c r="BC8" s="678"/>
      <c r="BD8" s="678"/>
      <c r="BE8" s="678"/>
      <c r="BF8" s="678"/>
      <c r="BG8" s="679"/>
    </row>
    <row r="9" spans="1:59" ht="24.9" customHeight="1" x14ac:dyDescent="0.3">
      <c r="A9">
        <v>44</v>
      </c>
      <c r="B9" s="752" t="s">
        <v>18</v>
      </c>
      <c r="C9" s="753"/>
      <c r="D9"/>
      <c r="E9" s="420">
        <v>93</v>
      </c>
      <c r="F9" s="421">
        <v>101</v>
      </c>
      <c r="G9" s="421">
        <v>37.200000000000003</v>
      </c>
      <c r="H9" s="421">
        <v>102.2</v>
      </c>
      <c r="I9" s="421">
        <v>6.5</v>
      </c>
      <c r="J9" s="421">
        <v>0</v>
      </c>
      <c r="K9" s="422">
        <v>0</v>
      </c>
      <c r="M9" s="473">
        <f>'Base de Datos'!CE39</f>
        <v>84</v>
      </c>
      <c r="N9" s="474">
        <f>'Base de Datos'!CF39</f>
        <v>68.8</v>
      </c>
      <c r="O9" s="474">
        <f>'Base de Datos'!CG39</f>
        <v>107.6</v>
      </c>
      <c r="P9" s="474">
        <f>'Base de Datos'!CH39</f>
        <v>64.400000000000006</v>
      </c>
      <c r="Q9" s="474">
        <f>'Base de Datos'!CI39</f>
        <v>0</v>
      </c>
      <c r="R9" s="474">
        <f>'Base de Datos'!CJ39</f>
        <v>0</v>
      </c>
      <c r="S9" s="474">
        <f>'Base de Datos'!CK39</f>
        <v>0</v>
      </c>
      <c r="U9" s="475">
        <f>'Base de Datos'!CN39</f>
        <v>0</v>
      </c>
      <c r="V9" s="476">
        <f>'Base de Datos'!CO39</f>
        <v>91.82</v>
      </c>
      <c r="W9" s="476">
        <f>'Base de Datos'!CP39</f>
        <v>113</v>
      </c>
      <c r="X9" s="476">
        <f>'Base de Datos'!CQ39</f>
        <v>96.2</v>
      </c>
      <c r="Y9" s="476">
        <f>'Base de Datos'!CR39</f>
        <v>25.5</v>
      </c>
      <c r="Z9" s="476">
        <f>'Base de Datos'!CS39</f>
        <v>0</v>
      </c>
      <c r="AA9" s="476">
        <f>'Base de Datos'!CT39</f>
        <v>0</v>
      </c>
      <c r="AC9" s="475">
        <f>'Base de Datos'!CW39</f>
        <v>138.30000000000001</v>
      </c>
      <c r="AD9" s="476">
        <f>'Base de Datos'!CX39</f>
        <v>102.4</v>
      </c>
      <c r="AE9" s="476">
        <f>'Base de Datos'!CY39</f>
        <v>100.3</v>
      </c>
      <c r="AF9" s="476">
        <f>'Base de Datos'!CZ39</f>
        <v>0</v>
      </c>
      <c r="AG9" s="476">
        <f>'Base de Datos'!DA39</f>
        <v>0</v>
      </c>
      <c r="AH9" s="476">
        <f>'Base de Datos'!DB39</f>
        <v>0</v>
      </c>
      <c r="AI9" s="553">
        <f>'Base de Datos'!DC39</f>
        <v>0</v>
      </c>
      <c r="AK9" s="618">
        <f>'Base de Datos'!DF39</f>
        <v>103.9</v>
      </c>
      <c r="AL9" s="619">
        <f>'Base de Datos'!DG39</f>
        <v>33</v>
      </c>
      <c r="AM9" s="619">
        <f>'Base de Datos'!DH39</f>
        <v>70.900000000000006</v>
      </c>
      <c r="AN9" s="619">
        <f>'Base de Datos'!DI39</f>
        <v>0</v>
      </c>
      <c r="AO9" s="619">
        <f>'Base de Datos'!DJ39</f>
        <v>0</v>
      </c>
      <c r="AP9" s="619">
        <f>'Base de Datos'!DK39</f>
        <v>0</v>
      </c>
      <c r="AQ9" s="619">
        <f>'Base de Datos'!DL39</f>
        <v>0</v>
      </c>
      <c r="AS9" s="618"/>
      <c r="AT9" s="619"/>
      <c r="AU9" s="619"/>
      <c r="AV9" s="619"/>
      <c r="AW9" s="619" t="s">
        <v>232</v>
      </c>
      <c r="AX9" s="619" t="s">
        <v>232</v>
      </c>
      <c r="AY9" s="619" t="s">
        <v>232</v>
      </c>
      <c r="BA9" s="646" t="s">
        <v>333</v>
      </c>
      <c r="BB9" s="619" t="s">
        <v>333</v>
      </c>
      <c r="BC9" s="619">
        <f>'Base de Datos'!DZ39</f>
        <v>83.4</v>
      </c>
      <c r="BD9" s="619">
        <f>'Base de Datos'!EA39</f>
        <v>83.4</v>
      </c>
      <c r="BE9" s="619"/>
      <c r="BF9" s="619"/>
      <c r="BG9" s="619"/>
    </row>
    <row r="10" spans="1:59" ht="24.9" customHeight="1" x14ac:dyDescent="0.3">
      <c r="A10">
        <v>95</v>
      </c>
      <c r="B10" s="754" t="s">
        <v>20</v>
      </c>
      <c r="C10" s="755"/>
      <c r="D10"/>
      <c r="E10" s="423">
        <v>0</v>
      </c>
      <c r="F10" s="424">
        <v>0</v>
      </c>
      <c r="G10" s="424">
        <v>0</v>
      </c>
      <c r="H10" s="424">
        <v>0</v>
      </c>
      <c r="I10" s="424">
        <v>0</v>
      </c>
      <c r="J10" s="424">
        <v>0</v>
      </c>
      <c r="K10" s="425">
        <v>0</v>
      </c>
      <c r="M10" s="475">
        <f>'Base de Datos'!CE40</f>
        <v>13.14</v>
      </c>
      <c r="N10" s="476">
        <f>'Base de Datos'!CF40</f>
        <v>15.9</v>
      </c>
      <c r="O10" s="476">
        <f>'Base de Datos'!CG40</f>
        <v>15.2</v>
      </c>
      <c r="P10" s="476">
        <f>'Base de Datos'!CH40</f>
        <v>13.1</v>
      </c>
      <c r="Q10" s="476">
        <f>'Base de Datos'!CI40</f>
        <v>0</v>
      </c>
      <c r="R10" s="476">
        <f>'Base de Datos'!CJ40</f>
        <v>1.75</v>
      </c>
      <c r="S10" s="476">
        <f>'Base de Datos'!CK40</f>
        <v>0</v>
      </c>
      <c r="U10" s="475">
        <f>'Base de Datos'!CN40</f>
        <v>0</v>
      </c>
      <c r="V10" s="476">
        <f>'Base de Datos'!CO40</f>
        <v>16.3</v>
      </c>
      <c r="W10" s="476">
        <f>'Base de Datos'!CP40</f>
        <v>16</v>
      </c>
      <c r="X10" s="476">
        <f>'Base de Datos'!CQ40</f>
        <v>20.399999999999999</v>
      </c>
      <c r="Y10" s="476">
        <f>'Base de Datos'!CR40</f>
        <v>0</v>
      </c>
      <c r="Z10" s="476">
        <f>'Base de Datos'!CS40</f>
        <v>0</v>
      </c>
      <c r="AA10" s="476">
        <f>'Base de Datos'!CT40</f>
        <v>0</v>
      </c>
      <c r="AC10" s="475">
        <f>'Base de Datos'!CW40</f>
        <v>15.3</v>
      </c>
      <c r="AD10" s="476">
        <f>'Base de Datos'!CX40</f>
        <v>66.19</v>
      </c>
      <c r="AE10" s="476">
        <f>'Base de Datos'!CY40</f>
        <v>17.3</v>
      </c>
      <c r="AF10" s="476">
        <f>'Base de Datos'!CZ40</f>
        <v>0</v>
      </c>
      <c r="AG10" s="476">
        <f>'Base de Datos'!DA40</f>
        <v>0</v>
      </c>
      <c r="AH10" s="476">
        <f>'Base de Datos'!DB40</f>
        <v>0</v>
      </c>
      <c r="AI10" s="553">
        <f>'Base de Datos'!DC40</f>
        <v>0</v>
      </c>
      <c r="AK10" s="475">
        <f>'Base de Datos'!DF40</f>
        <v>14.33</v>
      </c>
      <c r="AL10" s="476">
        <f>'Base de Datos'!DG40</f>
        <v>14.13</v>
      </c>
      <c r="AM10" s="476">
        <f>'Base de Datos'!DH40</f>
        <v>7.5</v>
      </c>
      <c r="AN10" s="476">
        <f>'Base de Datos'!DI40</f>
        <v>0</v>
      </c>
      <c r="AO10" s="476">
        <f>'Base de Datos'!DJ40</f>
        <v>0</v>
      </c>
      <c r="AP10" s="476">
        <f>'Base de Datos'!DK40</f>
        <v>0</v>
      </c>
      <c r="AQ10" s="476">
        <f>'Base de Datos'!DL40</f>
        <v>0</v>
      </c>
      <c r="AS10" s="475"/>
      <c r="AT10" s="476"/>
      <c r="AU10" s="476"/>
      <c r="AV10" s="476"/>
      <c r="AW10" s="476">
        <f>'Base de Datos'!DS40</f>
        <v>0</v>
      </c>
      <c r="AX10" s="476">
        <f>'Base de Datos'!DT40</f>
        <v>0</v>
      </c>
      <c r="AY10" s="476">
        <f>'Base de Datos'!DU40</f>
        <v>0</v>
      </c>
      <c r="BA10" s="475">
        <f>'Base de Datos'!DX40</f>
        <v>0</v>
      </c>
      <c r="BB10" s="476">
        <f>'Base de Datos'!DY40</f>
        <v>0</v>
      </c>
      <c r="BC10" s="476">
        <f>'Base de Datos'!DZ40</f>
        <v>0</v>
      </c>
      <c r="BD10" s="476">
        <f>'Base de Datos'!EA40</f>
        <v>0</v>
      </c>
      <c r="BE10" s="476"/>
      <c r="BF10" s="476"/>
      <c r="BG10" s="476"/>
    </row>
    <row r="11" spans="1:59" ht="24.9" customHeight="1" x14ac:dyDescent="0.3">
      <c r="A11">
        <v>45</v>
      </c>
      <c r="B11" s="754" t="s">
        <v>21</v>
      </c>
      <c r="C11" s="755"/>
      <c r="D11"/>
      <c r="E11" s="423">
        <v>34.299999999999997</v>
      </c>
      <c r="F11" s="424">
        <v>43.4</v>
      </c>
      <c r="G11" s="424">
        <v>42</v>
      </c>
      <c r="H11" s="424">
        <v>30.2</v>
      </c>
      <c r="I11" s="424">
        <v>12</v>
      </c>
      <c r="J11" s="424">
        <v>7.9</v>
      </c>
      <c r="K11" s="425">
        <v>7.7</v>
      </c>
      <c r="M11" s="475">
        <f>'Base de Datos'!CE3</f>
        <v>29.8</v>
      </c>
      <c r="N11" s="476">
        <f>'Base de Datos'!CF3</f>
        <v>41.4</v>
      </c>
      <c r="O11" s="476">
        <f>'Base de Datos'!CG3</f>
        <v>40.299999999999997</v>
      </c>
      <c r="P11" s="476">
        <f>'Base de Datos'!CH3</f>
        <v>40.4</v>
      </c>
      <c r="Q11" s="476">
        <f>'Base de Datos'!CI3</f>
        <v>20.100000000000001</v>
      </c>
      <c r="R11" s="476">
        <f>'Base de Datos'!CJ3</f>
        <v>17</v>
      </c>
      <c r="S11" s="476">
        <f>'Base de Datos'!CK3</f>
        <v>15.1</v>
      </c>
      <c r="U11" s="475">
        <f>'Base de Datos'!CN3</f>
        <v>0</v>
      </c>
      <c r="V11" s="476">
        <f>'Base de Datos'!CO3</f>
        <v>51.7</v>
      </c>
      <c r="W11" s="476">
        <f>'Base de Datos'!CP3</f>
        <v>53.6</v>
      </c>
      <c r="X11" s="476">
        <f>'Base de Datos'!CQ3</f>
        <v>34</v>
      </c>
      <c r="Y11" s="476">
        <f>'Base de Datos'!CR3</f>
        <v>21.5</v>
      </c>
      <c r="Z11" s="476">
        <f>'Base de Datos'!CS3</f>
        <v>13.7</v>
      </c>
      <c r="AA11" s="476">
        <f>'Base de Datos'!CT3</f>
        <v>13.9</v>
      </c>
      <c r="AC11" s="475">
        <f>'Base de Datos'!CW3</f>
        <v>37.299999999999997</v>
      </c>
      <c r="AD11" s="476">
        <f>'Base de Datos'!CX3</f>
        <v>46.9</v>
      </c>
      <c r="AE11" s="476">
        <f>'Base de Datos'!CY3</f>
        <v>47</v>
      </c>
      <c r="AF11" s="476">
        <f>'Base de Datos'!CZ3</f>
        <v>41</v>
      </c>
      <c r="AG11" s="476">
        <f>'Base de Datos'!DA3</f>
        <v>26.6</v>
      </c>
      <c r="AH11" s="476">
        <f>'Base de Datos'!DB3</f>
        <v>12</v>
      </c>
      <c r="AI11" s="553">
        <f>'Base de Datos'!DC3</f>
        <v>7.6</v>
      </c>
      <c r="AK11" s="475">
        <f>'Base de Datos'!DF3</f>
        <v>38.81</v>
      </c>
      <c r="AL11" s="476">
        <f>'Base de Datos'!DG3</f>
        <v>38.4</v>
      </c>
      <c r="AM11" s="476">
        <f>'Base de Datos'!DH3</f>
        <v>45.6</v>
      </c>
      <c r="AN11" s="476">
        <f>'Base de Datos'!DI3</f>
        <v>19</v>
      </c>
      <c r="AO11" s="476">
        <f>'Base de Datos'!DJ3</f>
        <v>0</v>
      </c>
      <c r="AP11" s="476">
        <f>'Base de Datos'!DK3</f>
        <v>0</v>
      </c>
      <c r="AQ11" s="476">
        <f>'Base de Datos'!DL3</f>
        <v>0</v>
      </c>
      <c r="AS11" s="475"/>
      <c r="AT11" s="476"/>
      <c r="AU11" s="476"/>
      <c r="AV11" s="476"/>
      <c r="AW11" s="476" t="s">
        <v>232</v>
      </c>
      <c r="AX11" s="476" t="s">
        <v>232</v>
      </c>
      <c r="AY11" s="476" t="s">
        <v>232</v>
      </c>
      <c r="BA11" s="475">
        <f>'Base de Datos'!DX3</f>
        <v>35</v>
      </c>
      <c r="BB11" s="476">
        <f>'Base de Datos'!DY3</f>
        <v>26</v>
      </c>
      <c r="BC11" s="476" t="s">
        <v>333</v>
      </c>
      <c r="BD11" s="476" t="s">
        <v>333</v>
      </c>
      <c r="BE11" s="476"/>
      <c r="BF11" s="476"/>
      <c r="BG11" s="476"/>
    </row>
    <row r="12" spans="1:59" ht="24.9" customHeight="1" thickBot="1" x14ac:dyDescent="0.35">
      <c r="A12">
        <v>46</v>
      </c>
      <c r="B12" s="742" t="s">
        <v>23</v>
      </c>
      <c r="C12" s="743"/>
      <c r="D12"/>
      <c r="E12" s="426">
        <v>1.9</v>
      </c>
      <c r="F12" s="427">
        <v>43.8</v>
      </c>
      <c r="G12" s="427">
        <v>38.299999999999997</v>
      </c>
      <c r="H12" s="427">
        <v>28.7</v>
      </c>
      <c r="I12" s="427">
        <v>14.4</v>
      </c>
      <c r="J12" s="427">
        <v>0</v>
      </c>
      <c r="K12" s="428">
        <v>0</v>
      </c>
      <c r="M12" s="477">
        <f>'Base de Datos'!CE21</f>
        <v>19</v>
      </c>
      <c r="N12" s="478">
        <f>'Base de Datos'!CF21</f>
        <v>43.8</v>
      </c>
      <c r="O12" s="478">
        <f>'Base de Datos'!CG21</f>
        <v>37.700000000000003</v>
      </c>
      <c r="P12" s="478">
        <f>'Base de Datos'!CH21</f>
        <v>18.2</v>
      </c>
      <c r="Q12" s="478">
        <f>'Base de Datos'!CI21</f>
        <v>7.5</v>
      </c>
      <c r="R12" s="478">
        <f>'Base de Datos'!CJ21</f>
        <v>1.6</v>
      </c>
      <c r="S12" s="478">
        <f>'Base de Datos'!CK21</f>
        <v>0</v>
      </c>
      <c r="U12" s="475">
        <f>'Base de Datos'!CN21</f>
        <v>0</v>
      </c>
      <c r="V12" s="476">
        <f>'Base de Datos'!CO21</f>
        <v>23.6</v>
      </c>
      <c r="W12" s="476">
        <f>'Base de Datos'!CP21</f>
        <v>30.6</v>
      </c>
      <c r="X12" s="476">
        <f>'Base de Datos'!CQ21</f>
        <v>24.3</v>
      </c>
      <c r="Y12" s="476">
        <f>'Base de Datos'!CR21</f>
        <v>18.2</v>
      </c>
      <c r="Z12" s="476">
        <f>'Base de Datos'!CS21</f>
        <v>6.2</v>
      </c>
      <c r="AA12" s="476">
        <f>'Base de Datos'!CT21</f>
        <v>0</v>
      </c>
      <c r="AC12" s="475">
        <f>'Base de Datos'!CW21</f>
        <v>37.4</v>
      </c>
      <c r="AD12" s="476">
        <f>'Base de Datos'!CX21</f>
        <v>42</v>
      </c>
      <c r="AE12" s="476">
        <f>'Base de Datos'!CY21</f>
        <v>44.2</v>
      </c>
      <c r="AF12" s="476">
        <f>'Base de Datos'!CZ21</f>
        <v>27.8</v>
      </c>
      <c r="AG12" s="476">
        <f>'Base de Datos'!DA21</f>
        <v>14</v>
      </c>
      <c r="AH12" s="476">
        <f>'Base de Datos'!DB21</f>
        <v>12.2</v>
      </c>
      <c r="AI12" s="553">
        <f>'Base de Datos'!DC21</f>
        <v>0.5</v>
      </c>
      <c r="AK12" s="620">
        <f>'Base de Datos'!DF21</f>
        <v>33.900000000000006</v>
      </c>
      <c r="AL12" s="621">
        <f>'Base de Datos'!DG21</f>
        <v>40.800000000000004</v>
      </c>
      <c r="AM12" s="621">
        <f>'Base de Datos'!DH21</f>
        <v>29.7</v>
      </c>
      <c r="AN12" s="621">
        <f>'Base de Datos'!DI21</f>
        <v>6.3</v>
      </c>
      <c r="AO12" s="621">
        <f>'Base de Datos'!DJ21</f>
        <v>0</v>
      </c>
      <c r="AP12" s="621">
        <f>'Base de Datos'!DK21</f>
        <v>0</v>
      </c>
      <c r="AQ12" s="621">
        <f>'Base de Datos'!DL21</f>
        <v>0</v>
      </c>
      <c r="AS12" s="620"/>
      <c r="AT12" s="621"/>
      <c r="AU12" s="621"/>
      <c r="AV12" s="621"/>
      <c r="AW12" s="621">
        <f>'Base de Datos'!DS21</f>
        <v>19.8</v>
      </c>
      <c r="AX12" s="621">
        <f>'Base de Datos'!DT21</f>
        <v>27.2</v>
      </c>
      <c r="AY12" s="621">
        <f>'Base de Datos'!DU21</f>
        <v>19.53</v>
      </c>
      <c r="BA12" s="647" t="s">
        <v>333</v>
      </c>
      <c r="BB12" s="621" t="s">
        <v>333</v>
      </c>
      <c r="BC12" s="621" t="s">
        <v>333</v>
      </c>
      <c r="BD12" s="476">
        <f>'Base de Datos'!EA21</f>
        <v>18.926000000000002</v>
      </c>
      <c r="BE12" s="621"/>
      <c r="BF12" s="621"/>
      <c r="BG12" s="621"/>
    </row>
    <row r="13" spans="1:59" ht="24.9" customHeight="1" thickBot="1" x14ac:dyDescent="0.35">
      <c r="A13">
        <v>47</v>
      </c>
      <c r="B13" s="737"/>
      <c r="C13" s="738"/>
      <c r="D13"/>
      <c r="E13" s="704"/>
      <c r="F13" s="705"/>
      <c r="G13" s="705"/>
      <c r="H13" s="705"/>
      <c r="I13" s="705"/>
      <c r="J13" s="705"/>
      <c r="K13" s="706"/>
      <c r="M13" s="704"/>
      <c r="N13" s="705"/>
      <c r="O13" s="705"/>
      <c r="P13" s="705"/>
      <c r="Q13" s="705"/>
      <c r="R13" s="705"/>
      <c r="S13" s="706"/>
      <c r="U13" s="704"/>
      <c r="V13" s="705"/>
      <c r="W13" s="705"/>
      <c r="X13" s="705"/>
      <c r="Y13" s="705"/>
      <c r="Z13" s="705"/>
      <c r="AA13" s="706"/>
      <c r="AC13" s="704"/>
      <c r="AD13" s="705"/>
      <c r="AE13" s="705"/>
      <c r="AF13" s="705"/>
      <c r="AG13" s="705"/>
      <c r="AH13" s="705"/>
      <c r="AI13" s="706"/>
      <c r="AK13" s="680"/>
      <c r="AL13" s="681"/>
      <c r="AM13" s="681"/>
      <c r="AN13" s="681"/>
      <c r="AO13" s="681"/>
      <c r="AP13" s="681"/>
      <c r="AQ13" s="682"/>
      <c r="AS13" s="680"/>
      <c r="AT13" s="681"/>
      <c r="AU13" s="681"/>
      <c r="AV13" s="681"/>
      <c r="AW13" s="681"/>
      <c r="AX13" s="681"/>
      <c r="AY13" s="682"/>
      <c r="BA13" s="680"/>
      <c r="BB13" s="681"/>
      <c r="BC13" s="681"/>
      <c r="BD13" s="681"/>
      <c r="BE13" s="681"/>
      <c r="BF13" s="681"/>
      <c r="BG13" s="682"/>
    </row>
    <row r="14" spans="1:59" ht="24.9" customHeight="1" x14ac:dyDescent="0.3">
      <c r="A14">
        <v>48</v>
      </c>
      <c r="B14" s="731" t="s">
        <v>359</v>
      </c>
      <c r="C14" s="732"/>
      <c r="D14"/>
      <c r="E14" s="432">
        <v>74377</v>
      </c>
      <c r="F14" s="433">
        <v>62722.95</v>
      </c>
      <c r="G14" s="433">
        <v>130118.31999999999</v>
      </c>
      <c r="H14" s="433">
        <v>81978.17</v>
      </c>
      <c r="I14" s="433">
        <v>61169.899999999994</v>
      </c>
      <c r="J14" s="433">
        <v>31420.29</v>
      </c>
      <c r="K14" s="459">
        <v>22924.629999999997</v>
      </c>
      <c r="M14" s="485">
        <f>'Base de Datos'!CE82</f>
        <v>48145.75</v>
      </c>
      <c r="N14" s="486">
        <f>'Base de Datos'!CF82</f>
        <v>109798.51999999999</v>
      </c>
      <c r="O14" s="486">
        <f>'Base de Datos'!CG82</f>
        <v>95896.9</v>
      </c>
      <c r="P14" s="486">
        <f>'Base de Datos'!CH82</f>
        <v>85182.540000000008</v>
      </c>
      <c r="Q14" s="486"/>
      <c r="R14" s="486"/>
      <c r="S14" s="487"/>
      <c r="U14" s="488">
        <f>'Base de Datos'!CN82</f>
        <v>23429</v>
      </c>
      <c r="V14" s="489">
        <f>'Base de Datos'!CO82</f>
        <v>93958.97</v>
      </c>
      <c r="W14" s="489">
        <f>'Base de Datos'!CP82</f>
        <v>72597.209999999992</v>
      </c>
      <c r="X14" s="489">
        <f>'Base de Datos'!CQ82</f>
        <v>90711.07</v>
      </c>
      <c r="Y14" s="489">
        <f>'Base de Datos'!CR82</f>
        <v>70107.53</v>
      </c>
      <c r="Z14" s="489">
        <f>'Base de Datos'!CS82</f>
        <v>45478.979999999996</v>
      </c>
      <c r="AA14" s="489">
        <f>'Base de Datos'!CT82</f>
        <v>28003.409999999996</v>
      </c>
      <c r="AC14" s="488">
        <f>'Base de Datos'!CW82</f>
        <v>65771.56</v>
      </c>
      <c r="AD14" s="489">
        <f>'Base de Datos'!CX82</f>
        <v>93958.97</v>
      </c>
      <c r="AE14" s="489">
        <f>'Base de Datos'!CY82</f>
        <v>114983.59</v>
      </c>
      <c r="AF14" s="489">
        <f>'Base de Datos'!CZ82</f>
        <v>105554.97</v>
      </c>
      <c r="AG14" s="489">
        <f>'Base de Datos'!DA82</f>
        <v>85124.98</v>
      </c>
      <c r="AH14" s="489">
        <f>'Base de Datos'!DB82</f>
        <v>58145.25</v>
      </c>
      <c r="AI14" s="490">
        <f>'Base de Datos'!DC82</f>
        <v>35499.480000000003</v>
      </c>
      <c r="AK14" s="614">
        <f>'Base de Datos'!DF82</f>
        <v>91819.59</v>
      </c>
      <c r="AL14" s="615">
        <f>'Base de Datos'!DG82</f>
        <v>95955.56</v>
      </c>
      <c r="AM14" s="615">
        <f>'Base de Datos'!DH82</f>
        <v>97751.76999999999</v>
      </c>
      <c r="AN14" s="615">
        <f>'Base de Datos'!DI82</f>
        <v>67575.460000000006</v>
      </c>
      <c r="AO14" s="615">
        <f>'Base de Datos'!DJ82</f>
        <v>0</v>
      </c>
      <c r="AP14" s="615">
        <f>'Base de Datos'!DK82</f>
        <v>0</v>
      </c>
      <c r="AQ14" s="615">
        <f>'Base de Datos'!DL82</f>
        <v>0</v>
      </c>
      <c r="AS14" s="614"/>
      <c r="AT14" s="615"/>
      <c r="AU14" s="615"/>
      <c r="AV14" s="615"/>
      <c r="AW14" s="615">
        <f>'Base de Datos'!DS82</f>
        <v>6152.94</v>
      </c>
      <c r="AX14" s="615">
        <f>'Base de Datos'!DT82</f>
        <v>24180.629999999997</v>
      </c>
      <c r="AY14" s="615">
        <f>'Base de Datos'!DU82</f>
        <v>13316.86</v>
      </c>
      <c r="BA14" s="614">
        <f>'Base de Datos'!DX82</f>
        <v>32890.980000000003</v>
      </c>
      <c r="BB14" s="615">
        <f>'Base de Datos'!DY82</f>
        <v>29497.32</v>
      </c>
      <c r="BC14" s="615">
        <f>'Base de Datos'!DZ82</f>
        <v>23060.61</v>
      </c>
      <c r="BD14" s="615">
        <f>'Base de Datos'!EA82</f>
        <v>27558.37</v>
      </c>
      <c r="BE14" s="615"/>
      <c r="BF14" s="615"/>
      <c r="BG14" s="615"/>
    </row>
    <row r="15" spans="1:59" ht="24.9" customHeight="1" x14ac:dyDescent="0.3">
      <c r="A15">
        <v>49</v>
      </c>
      <c r="B15" s="735" t="s">
        <v>358</v>
      </c>
      <c r="C15" s="736"/>
      <c r="D15"/>
      <c r="E15" s="432"/>
      <c r="F15" s="433"/>
      <c r="G15" s="433"/>
      <c r="H15" s="433"/>
      <c r="I15" s="433"/>
      <c r="J15" s="433"/>
      <c r="K15" s="459"/>
      <c r="M15" s="485"/>
      <c r="N15" s="486"/>
      <c r="O15" s="486"/>
      <c r="P15" s="486"/>
      <c r="Q15" s="486"/>
      <c r="R15" s="486"/>
      <c r="S15" s="487"/>
      <c r="U15" s="488"/>
      <c r="V15" s="489"/>
      <c r="W15" s="489"/>
      <c r="X15" s="489"/>
      <c r="Y15" s="489"/>
      <c r="Z15" s="489"/>
      <c r="AA15" s="489"/>
      <c r="AC15" s="488"/>
      <c r="AD15" s="489"/>
      <c r="AE15" s="489"/>
      <c r="AF15" s="489"/>
      <c r="AG15" s="489"/>
      <c r="AH15" s="489"/>
      <c r="AI15" s="490"/>
      <c r="AK15" s="485"/>
      <c r="AL15" s="486"/>
      <c r="AM15" s="486"/>
      <c r="AN15" s="486"/>
      <c r="AO15" s="486"/>
      <c r="AP15" s="486"/>
      <c r="AQ15" s="486"/>
      <c r="AS15" s="485"/>
      <c r="AT15" s="486"/>
      <c r="AU15" s="486"/>
      <c r="AV15" s="486"/>
      <c r="AW15" s="486"/>
      <c r="AX15" s="486"/>
      <c r="AY15" s="486"/>
      <c r="BA15" s="485">
        <f>'Base de Datos'!DX83</f>
        <v>5561.19</v>
      </c>
      <c r="BB15" s="486">
        <f>'Base de Datos'!DY83</f>
        <v>4499.6499999999996</v>
      </c>
      <c r="BC15" s="486">
        <f>'Base de Datos'!DZ83</f>
        <v>5561.69</v>
      </c>
      <c r="BD15" s="486">
        <f>'Base de Datos'!EA83</f>
        <v>26857.21</v>
      </c>
      <c r="BE15" s="486"/>
      <c r="BF15" s="486"/>
      <c r="BG15" s="486"/>
    </row>
    <row r="16" spans="1:59" ht="24.9" customHeight="1" x14ac:dyDescent="0.3">
      <c r="A16">
        <v>50</v>
      </c>
      <c r="B16" s="735" t="s">
        <v>256</v>
      </c>
      <c r="C16" s="736"/>
      <c r="D16"/>
      <c r="E16" s="429">
        <v>10828</v>
      </c>
      <c r="F16" s="430">
        <v>8913</v>
      </c>
      <c r="G16" s="430">
        <v>6338</v>
      </c>
      <c r="H16" s="430">
        <v>8892</v>
      </c>
      <c r="I16" s="430">
        <v>4447</v>
      </c>
      <c r="J16" s="430">
        <v>225</v>
      </c>
      <c r="K16" s="431">
        <v>397</v>
      </c>
      <c r="M16" s="488">
        <f>'Base de Datos'!CE84</f>
        <v>8864</v>
      </c>
      <c r="N16" s="489">
        <f>'Base de Datos'!CF84</f>
        <v>6603</v>
      </c>
      <c r="O16" s="489">
        <f>'Base de Datos'!CG84</f>
        <v>9849</v>
      </c>
      <c r="P16" s="489">
        <f>'Base de Datos'!CH84</f>
        <v>6700</v>
      </c>
      <c r="Q16" s="489"/>
      <c r="R16" s="489"/>
      <c r="S16" s="490"/>
      <c r="U16" s="488">
        <f>'Base de Datos'!CN84</f>
        <v>1073</v>
      </c>
      <c r="V16" s="489">
        <f>'Base de Datos'!CO84</f>
        <v>9218</v>
      </c>
      <c r="W16" s="489">
        <f>'Base de Datos'!CP84</f>
        <v>10455</v>
      </c>
      <c r="X16" s="489">
        <f>'Base de Datos'!CQ84</f>
        <v>8326</v>
      </c>
      <c r="Y16" s="489">
        <f>'Base de Datos'!CR84</f>
        <v>4550</v>
      </c>
      <c r="Z16" s="489">
        <f>'Base de Datos'!CS84</f>
        <v>172</v>
      </c>
      <c r="AA16" s="489">
        <f>'Base de Datos'!CT84</f>
        <v>384</v>
      </c>
      <c r="AC16" s="488">
        <f>'Base de Datos'!CW84</f>
        <v>10335</v>
      </c>
      <c r="AD16" s="489">
        <f>'Base de Datos'!CX84</f>
        <v>9558</v>
      </c>
      <c r="AE16" s="489">
        <f>'Base de Datos'!CY84</f>
        <v>8842</v>
      </c>
      <c r="AF16" s="489">
        <f>'Base de Datos'!CZ84</f>
        <v>8688</v>
      </c>
      <c r="AG16" s="489">
        <f>'Base de Datos'!DA84</f>
        <v>4977</v>
      </c>
      <c r="AH16" s="489">
        <f>'Base de Datos'!DB84</f>
        <v>1011</v>
      </c>
      <c r="AI16" s="490">
        <f>'Base de Datos'!DC84</f>
        <v>472</v>
      </c>
      <c r="AK16" s="488">
        <f>'Base de Datos'!DF84</f>
        <v>9531</v>
      </c>
      <c r="AL16" s="489">
        <f>'Base de Datos'!DG84</f>
        <v>7793</v>
      </c>
      <c r="AM16" s="489">
        <f>'Base de Datos'!DH84</f>
        <v>7659</v>
      </c>
      <c r="AN16" s="489">
        <f>'Base de Datos'!DI84</f>
        <v>2932</v>
      </c>
      <c r="AO16" s="489">
        <f>'Base de Datos'!DJ84</f>
        <v>0</v>
      </c>
      <c r="AP16" s="489">
        <f>'Base de Datos'!DK84</f>
        <v>0</v>
      </c>
      <c r="AQ16" s="489">
        <f>'Base de Datos'!DL84</f>
        <v>0</v>
      </c>
      <c r="AS16" s="488"/>
      <c r="AT16" s="489"/>
      <c r="AU16" s="489"/>
      <c r="AV16" s="489"/>
      <c r="AW16" s="489">
        <f>'Base de Datos'!DS84</f>
        <v>993.8</v>
      </c>
      <c r="AX16" s="489">
        <f>'Base de Datos'!DT84</f>
        <v>273</v>
      </c>
      <c r="AY16" s="489">
        <f>'Base de Datos'!DU84</f>
        <v>159</v>
      </c>
      <c r="BA16" s="488">
        <f>'Base de Datos'!DX84</f>
        <v>176</v>
      </c>
      <c r="BB16" s="489">
        <f>'Base de Datos'!DY84</f>
        <v>949.6</v>
      </c>
      <c r="BC16" s="489">
        <f>'Base de Datos'!DZ84</f>
        <v>6947</v>
      </c>
      <c r="BD16" s="489">
        <f>'Base de Datos'!EA84</f>
        <v>9461</v>
      </c>
      <c r="BE16" s="489"/>
      <c r="BF16" s="489"/>
      <c r="BG16" s="489"/>
    </row>
    <row r="17" spans="1:59" ht="24.9" customHeight="1" x14ac:dyDescent="0.3">
      <c r="A17">
        <v>51</v>
      </c>
      <c r="B17" s="735" t="s">
        <v>257</v>
      </c>
      <c r="C17" s="736"/>
      <c r="D17"/>
      <c r="E17" s="429">
        <v>380</v>
      </c>
      <c r="F17" s="430">
        <v>320</v>
      </c>
      <c r="G17" s="430">
        <v>320</v>
      </c>
      <c r="H17" s="430">
        <v>320</v>
      </c>
      <c r="I17" s="430">
        <v>270</v>
      </c>
      <c r="J17" s="430">
        <v>70</v>
      </c>
      <c r="K17" s="431">
        <v>30</v>
      </c>
      <c r="M17" s="488">
        <f>'Base de Datos'!CE86</f>
        <v>290</v>
      </c>
      <c r="N17" s="489">
        <f>'Base de Datos'!CF86</f>
        <v>270</v>
      </c>
      <c r="O17" s="489">
        <f>'Base de Datos'!CG86</f>
        <v>360</v>
      </c>
      <c r="P17" s="489">
        <f>'Base de Datos'!CH86</f>
        <v>320</v>
      </c>
      <c r="Q17" s="489"/>
      <c r="R17" s="489"/>
      <c r="S17" s="490"/>
      <c r="U17" s="488">
        <f>'Base de Datos'!CN86</f>
        <v>0</v>
      </c>
      <c r="V17" s="489">
        <f>'Base de Datos'!CO86</f>
        <v>310</v>
      </c>
      <c r="W17" s="489">
        <f>'Base de Datos'!CP86</f>
        <v>104.45</v>
      </c>
      <c r="X17" s="489">
        <f>'Base de Datos'!CQ86</f>
        <v>360</v>
      </c>
      <c r="Y17" s="489">
        <f>'Base de Datos'!CR86</f>
        <v>350</v>
      </c>
      <c r="Z17" s="489">
        <f>'Base de Datos'!CS86</f>
        <v>240</v>
      </c>
      <c r="AA17" s="489">
        <f>'Base de Datos'!CT86</f>
        <v>60</v>
      </c>
      <c r="AC17" s="488">
        <f>'Base de Datos'!CW86</f>
        <v>330</v>
      </c>
      <c r="AD17" s="489">
        <f>'Base de Datos'!CX86</f>
        <v>440</v>
      </c>
      <c r="AE17" s="489">
        <f>'Base de Datos'!CY86</f>
        <v>410</v>
      </c>
      <c r="AF17" s="489">
        <f>'Base de Datos'!CZ86</f>
        <v>450</v>
      </c>
      <c r="AG17" s="489">
        <f>'Base de Datos'!DA86</f>
        <v>450</v>
      </c>
      <c r="AH17" s="489">
        <f>'Base de Datos'!DB86</f>
        <v>360</v>
      </c>
      <c r="AI17" s="490">
        <f>'Base de Datos'!DC86</f>
        <v>130</v>
      </c>
      <c r="AK17" s="488">
        <f>'Base de Datos'!DF86</f>
        <v>330</v>
      </c>
      <c r="AL17" s="489">
        <f>'Base de Datos'!DG86</f>
        <v>350</v>
      </c>
      <c r="AM17" s="489">
        <f>'Base de Datos'!DH86</f>
        <v>0</v>
      </c>
      <c r="AN17" s="489">
        <f>'Base de Datos'!DI86</f>
        <v>350</v>
      </c>
      <c r="AO17" s="489">
        <f>'Base de Datos'!DJ86</f>
        <v>0</v>
      </c>
      <c r="AP17" s="489">
        <f>'Base de Datos'!DK86</f>
        <v>0</v>
      </c>
      <c r="AQ17" s="489">
        <f>'Base de Datos'!DL86</f>
        <v>0</v>
      </c>
      <c r="AS17" s="488"/>
      <c r="AT17" s="489"/>
      <c r="AU17" s="489"/>
      <c r="AV17" s="489"/>
      <c r="AW17" s="489">
        <f>'Base de Datos'!DS86</f>
        <v>0</v>
      </c>
      <c r="AX17" s="489">
        <f>'Base de Datos'!DT86</f>
        <v>720</v>
      </c>
      <c r="AY17" s="489">
        <f>'Base de Datos'!DU86</f>
        <v>0</v>
      </c>
      <c r="BA17" s="488">
        <f>'Base de Datos'!DX86</f>
        <v>0</v>
      </c>
      <c r="BB17" s="489">
        <f>'Base de Datos'!DY86</f>
        <v>330</v>
      </c>
      <c r="BC17" s="489">
        <f>'Base de Datos'!DZ86</f>
        <v>170</v>
      </c>
      <c r="BD17" s="489">
        <f>'Base de Datos'!EA86</f>
        <v>270</v>
      </c>
      <c r="BE17" s="489"/>
      <c r="BF17" s="489"/>
      <c r="BG17" s="489"/>
    </row>
    <row r="18" spans="1:59" ht="24.9" customHeight="1" thickBot="1" x14ac:dyDescent="0.35">
      <c r="A18">
        <v>52</v>
      </c>
      <c r="B18" s="733" t="s">
        <v>258</v>
      </c>
      <c r="C18" s="734"/>
      <c r="D18"/>
      <c r="E18" s="435">
        <v>68</v>
      </c>
      <c r="F18" s="436">
        <v>86.78</v>
      </c>
      <c r="G18" s="436">
        <v>70</v>
      </c>
      <c r="H18" s="436">
        <v>101</v>
      </c>
      <c r="I18" s="436">
        <v>45.11</v>
      </c>
      <c r="J18" s="436">
        <v>1.1200000000000001</v>
      </c>
      <c r="K18" s="458">
        <v>3.89</v>
      </c>
      <c r="M18" s="491">
        <f>'Base de Datos'!CE85</f>
        <v>83.94</v>
      </c>
      <c r="N18" s="492">
        <f>'Base de Datos'!CF85</f>
        <v>61.44</v>
      </c>
      <c r="O18" s="492">
        <f>'Base de Datos'!CG85</f>
        <v>95.73</v>
      </c>
      <c r="P18" s="492">
        <f>'Base de Datos'!CH85</f>
        <v>61.19</v>
      </c>
      <c r="Q18" s="492"/>
      <c r="R18" s="492"/>
      <c r="S18" s="493"/>
      <c r="U18" s="488">
        <f>'Base de Datos'!CN85</f>
        <v>7.7</v>
      </c>
      <c r="V18" s="489">
        <f>'Base de Datos'!CO85</f>
        <v>88.78</v>
      </c>
      <c r="W18" s="489">
        <f>'Base de Datos'!CP85</f>
        <v>107.8</v>
      </c>
      <c r="X18" s="489">
        <f>'Base de Datos'!CQ85</f>
        <v>75.31</v>
      </c>
      <c r="Y18" s="489">
        <f>'Base de Datos'!CR85</f>
        <v>44.63</v>
      </c>
      <c r="Z18" s="489">
        <f>'Base de Datos'!CS85</f>
        <v>1.22</v>
      </c>
      <c r="AA18" s="489">
        <f>'Base de Datos'!CT85</f>
        <v>4.41</v>
      </c>
      <c r="AC18" s="488">
        <f>'Base de Datos'!CW85</f>
        <v>105.97</v>
      </c>
      <c r="AD18" s="489">
        <f>'Base de Datos'!CX85</f>
        <v>90.38</v>
      </c>
      <c r="AE18" s="489">
        <f>'Base de Datos'!CY85</f>
        <v>83.64</v>
      </c>
      <c r="AF18" s="489">
        <f>'Base de Datos'!CZ85</f>
        <v>90.92</v>
      </c>
      <c r="AG18" s="489">
        <f>'Base de Datos'!DA85</f>
        <v>51.61</v>
      </c>
      <c r="AH18" s="489">
        <f>'Base de Datos'!DB85</f>
        <v>8.73</v>
      </c>
      <c r="AI18" s="490">
        <f>'Base de Datos'!DC85</f>
        <v>4.03</v>
      </c>
      <c r="AK18" s="616">
        <f>'Base de Datos'!DF85</f>
        <v>93.28</v>
      </c>
      <c r="AL18" s="617">
        <f>'Base de Datos'!DG85</f>
        <v>68.39</v>
      </c>
      <c r="AM18" s="617">
        <f>'Base de Datos'!DH85</f>
        <v>75.2</v>
      </c>
      <c r="AN18" s="617">
        <f>'Base de Datos'!DI85</f>
        <v>31.38</v>
      </c>
      <c r="AO18" s="617">
        <f>'Base de Datos'!DJ85</f>
        <v>0</v>
      </c>
      <c r="AP18" s="617">
        <f>'Base de Datos'!DK85</f>
        <v>0</v>
      </c>
      <c r="AQ18" s="617">
        <f>'Base de Datos'!DL85</f>
        <v>0</v>
      </c>
      <c r="AS18" s="616"/>
      <c r="AT18" s="617"/>
      <c r="AU18" s="617"/>
      <c r="AV18" s="617"/>
      <c r="AW18" s="617">
        <f>'Base de Datos'!DS85</f>
        <v>8.5500000000000007</v>
      </c>
      <c r="AX18" s="617">
        <f>'Base de Datos'!DT85</f>
        <v>1.52</v>
      </c>
      <c r="AY18" s="617">
        <f>'Base de Datos'!DU85</f>
        <v>0.95</v>
      </c>
      <c r="BA18" s="616">
        <f>'Base de Datos'!DX85</f>
        <v>0.93</v>
      </c>
      <c r="BB18" s="617">
        <f>'Base de Datos'!DY85</f>
        <v>7.04</v>
      </c>
      <c r="BC18" s="617">
        <f>'Base de Datos'!DZ85</f>
        <v>72.75</v>
      </c>
      <c r="BD18" s="617">
        <f>'Base de Datos'!EA85</f>
        <v>83.6</v>
      </c>
      <c r="BE18" s="617"/>
      <c r="BF18" s="617"/>
      <c r="BG18" s="617"/>
    </row>
    <row r="19" spans="1:59" ht="24.9" customHeight="1" thickBot="1" x14ac:dyDescent="0.35">
      <c r="A19">
        <v>53</v>
      </c>
      <c r="B19" s="722" t="s">
        <v>249</v>
      </c>
      <c r="C19" s="723"/>
      <c r="D19"/>
      <c r="E19" s="739"/>
      <c r="F19" s="740"/>
      <c r="G19" s="740"/>
      <c r="H19" s="740"/>
      <c r="I19" s="740"/>
      <c r="J19" s="740"/>
      <c r="K19" s="741"/>
      <c r="M19" s="707"/>
      <c r="N19" s="708"/>
      <c r="O19" s="708"/>
      <c r="P19" s="708"/>
      <c r="Q19" s="708"/>
      <c r="R19" s="708"/>
      <c r="S19" s="709"/>
      <c r="U19" s="707"/>
      <c r="V19" s="708"/>
      <c r="W19" s="708"/>
      <c r="X19" s="708"/>
      <c r="Y19" s="708"/>
      <c r="Z19" s="708"/>
      <c r="AA19" s="709"/>
      <c r="AC19" s="707"/>
      <c r="AD19" s="708"/>
      <c r="AE19" s="708"/>
      <c r="AF19" s="708"/>
      <c r="AG19" s="708"/>
      <c r="AH19" s="708"/>
      <c r="AI19" s="709"/>
      <c r="AK19" s="683"/>
      <c r="AL19" s="684"/>
      <c r="AM19" s="684"/>
      <c r="AN19" s="684"/>
      <c r="AO19" s="684"/>
      <c r="AP19" s="684"/>
      <c r="AQ19" s="685"/>
      <c r="AS19" s="683"/>
      <c r="AT19" s="684"/>
      <c r="AU19" s="684"/>
      <c r="AV19" s="684"/>
      <c r="AW19" s="684"/>
      <c r="AX19" s="684"/>
      <c r="AY19" s="685"/>
      <c r="BA19" s="683"/>
      <c r="BB19" s="684"/>
      <c r="BC19" s="684"/>
      <c r="BD19" s="684"/>
      <c r="BE19" s="684"/>
      <c r="BF19" s="684"/>
      <c r="BG19" s="685"/>
    </row>
    <row r="20" spans="1:59" ht="30" customHeight="1" x14ac:dyDescent="0.3">
      <c r="A20">
        <v>54</v>
      </c>
      <c r="B20" s="360" t="s">
        <v>242</v>
      </c>
      <c r="C20" s="361">
        <v>690</v>
      </c>
      <c r="D20"/>
      <c r="E20" s="432">
        <v>393.52486187845312</v>
      </c>
      <c r="F20" s="433">
        <v>149.47729357798167</v>
      </c>
      <c r="G20" s="433">
        <v>329.90448318804488</v>
      </c>
      <c r="H20" s="433">
        <v>336.8</v>
      </c>
      <c r="I20" s="433">
        <v>600.37992424242418</v>
      </c>
      <c r="J20" s="433">
        <v>1136.8734177215188</v>
      </c>
      <c r="K20" s="422">
        <v>757.55714285714294</v>
      </c>
      <c r="M20" s="414">
        <f>'Base de Datos'!CE13</f>
        <v>69.179865771812075</v>
      </c>
      <c r="N20" s="415">
        <f>'Base de Datos'!CF13</f>
        <v>352.39130434782612</v>
      </c>
      <c r="O20" s="415">
        <f>'Base de Datos'!CG13</f>
        <v>325.23101736972706</v>
      </c>
      <c r="P20" s="415">
        <f>'Base de Datos'!CH13</f>
        <v>324.88564356435643</v>
      </c>
      <c r="Q20" s="415"/>
      <c r="R20" s="415"/>
      <c r="S20" s="469"/>
      <c r="U20" s="429" t="s">
        <v>333</v>
      </c>
      <c r="V20" s="430">
        <f>'Base de Datos'!CO13</f>
        <v>267.88201160541587</v>
      </c>
      <c r="W20" s="430">
        <f>'Base de Datos'!CP13</f>
        <v>135.36623134328357</v>
      </c>
      <c r="X20" s="430">
        <f>'Base de Datos'!CQ13</f>
        <v>382.3952941176471</v>
      </c>
      <c r="Y20" s="430">
        <f>'Base de Datos'!CR13</f>
        <v>471.93906976744188</v>
      </c>
      <c r="Z20" s="430">
        <f>'Base de Datos'!CS13</f>
        <v>482.71897810218979</v>
      </c>
      <c r="AA20" s="430">
        <f>'Base de Datos'!CT13</f>
        <v>319.86043165467629</v>
      </c>
      <c r="AC20" s="414">
        <f>'Base de Datos'!CW13</f>
        <v>54.934584450402149</v>
      </c>
      <c r="AD20" s="415">
        <f>'Base de Datos'!CX13</f>
        <v>295.29850746268659</v>
      </c>
      <c r="AE20" s="415">
        <f>'Base de Datos'!CY13</f>
        <v>323.42829787234041</v>
      </c>
      <c r="AF20" s="415">
        <f>'Base de Datos'!CZ13</f>
        <v>344.14780487804876</v>
      </c>
      <c r="AG20" s="415">
        <f>'Base de Datos'!DA13</f>
        <v>441.49924812030071</v>
      </c>
      <c r="AH20" s="415">
        <f>'Base de Datos'!DB13</f>
        <v>531.21916666666664</v>
      </c>
      <c r="AI20" s="415">
        <f>'Base de Datos'!DC13</f>
        <v>585.02499999999998</v>
      </c>
      <c r="AK20" s="414">
        <f>'Base de Datos'!DF13</f>
        <v>332.45143004380316</v>
      </c>
      <c r="AL20" s="415">
        <f>'Base de Datos'!DG13</f>
        <v>351.09062499999999</v>
      </c>
      <c r="AM20" s="415">
        <f>'Base de Datos'!DH13</f>
        <v>274.70526315789471</v>
      </c>
      <c r="AN20" s="415">
        <f>'Base de Datos'!DI13</f>
        <v>544.48368421052635</v>
      </c>
      <c r="AO20" s="415" t="e">
        <f>'Base de Datos'!DJ13</f>
        <v>#DIV/0!</v>
      </c>
      <c r="AP20" s="415" t="e">
        <f>'Base de Datos'!DK13</f>
        <v>#DIV/0!</v>
      </c>
      <c r="AQ20" s="415" t="e">
        <f>'Base de Datos'!DL13</f>
        <v>#DIV/0!</v>
      </c>
      <c r="AS20" s="414"/>
      <c r="AT20" s="415"/>
      <c r="AU20" s="415"/>
      <c r="AV20" s="415"/>
      <c r="AW20" s="415" t="e">
        <f>'Base de Datos'!DS13</f>
        <v>#DIV/0!</v>
      </c>
      <c r="AX20" s="415" t="e">
        <f>'Base de Datos'!DT13</f>
        <v>#DIV/0!</v>
      </c>
      <c r="AY20" s="415" t="e">
        <f>'Base de Datos'!DU13</f>
        <v>#DIV/0!</v>
      </c>
      <c r="BA20" s="414">
        <f>'Base de Datos'!DX13</f>
        <v>255.55892857142857</v>
      </c>
      <c r="BB20" s="415">
        <f>'Base de Datos'!DY13</f>
        <v>376.22355769230768</v>
      </c>
      <c r="BC20" s="415">
        <f>'Base de Datos'!DZ13</f>
        <v>407.6171875</v>
      </c>
      <c r="BD20" s="415"/>
      <c r="BE20" s="415"/>
      <c r="BF20" s="415"/>
      <c r="BG20" s="415"/>
    </row>
    <row r="21" spans="1:59" ht="30" customHeight="1" x14ac:dyDescent="0.3">
      <c r="A21">
        <v>55</v>
      </c>
      <c r="B21" s="362" t="s">
        <v>243</v>
      </c>
      <c r="C21" s="363">
        <v>860</v>
      </c>
      <c r="D21"/>
      <c r="E21" s="429"/>
      <c r="F21" s="430"/>
      <c r="G21" s="430"/>
      <c r="H21" s="430"/>
      <c r="I21" s="430"/>
      <c r="J21" s="430"/>
      <c r="K21" s="425"/>
      <c r="M21" s="429"/>
      <c r="N21" s="430">
        <f>'Base de Datos'!CF10</f>
        <v>519.78961352657007</v>
      </c>
      <c r="O21" s="430">
        <f>'Base de Datos'!CG10</f>
        <v>938.46277915632766</v>
      </c>
      <c r="P21" s="430">
        <f>'Base de Datos'!CH10</f>
        <v>920.05866336633676</v>
      </c>
      <c r="Q21" s="430"/>
      <c r="R21" s="430"/>
      <c r="S21" s="425"/>
      <c r="U21" s="429"/>
      <c r="V21" s="430">
        <f>'Base de Datos'!CO10</f>
        <v>743.60580270793025</v>
      </c>
      <c r="W21" s="430">
        <f>'Base de Datos'!CP10</f>
        <v>529.40466417910443</v>
      </c>
      <c r="X21" s="430">
        <f>'Base de Datos'!CQ10</f>
        <v>974.71941176470591</v>
      </c>
      <c r="Y21" s="430">
        <f>'Base de Datos'!CR10</f>
        <v>1315.4744186046512</v>
      </c>
      <c r="Z21" s="430">
        <f>'Base de Datos'!CS10</f>
        <v>1234.1532846715331</v>
      </c>
      <c r="AA21" s="430">
        <f>'Base de Datos'!CT10</f>
        <v>971.47913669064747</v>
      </c>
      <c r="AC21" s="429">
        <f>'Base de Datos'!CW10</f>
        <v>467.06997319034855</v>
      </c>
      <c r="AD21" s="430">
        <f>'Base de Datos'!CX10</f>
        <v>819.71044776119402</v>
      </c>
      <c r="AE21" s="430">
        <f>'Base de Datos'!CY10</f>
        <v>847.36617021276595</v>
      </c>
      <c r="AF21" s="430">
        <f>'Base de Datos'!CZ10</f>
        <v>852.33414634146334</v>
      </c>
      <c r="AG21" s="430">
        <f>'Base de Datos'!DA10</f>
        <v>1035.6127819548872</v>
      </c>
      <c r="AH21" s="430">
        <f>'Base de Datos'!DB10</f>
        <v>1301.4241666666667</v>
      </c>
      <c r="AI21" s="430">
        <f>'Base de Datos'!DC10</f>
        <v>1747.5276315789474</v>
      </c>
      <c r="AK21" s="429">
        <f>'Base de Datos'!DF10</f>
        <v>921.60087606287038</v>
      </c>
      <c r="AL21" s="430">
        <f>'Base de Datos'!DG10</f>
        <v>809.93593750000002</v>
      </c>
      <c r="AM21" s="430">
        <f>'Base de Datos'!DH10</f>
        <v>753.26425438596482</v>
      </c>
      <c r="AN21" s="430">
        <f>'Base de Datos'!DI10</f>
        <v>1402.3842105263157</v>
      </c>
      <c r="AO21" s="430" t="e">
        <f>'Base de Datos'!DJ10</f>
        <v>#DIV/0!</v>
      </c>
      <c r="AP21" s="430" t="e">
        <f>'Base de Datos'!DK10</f>
        <v>#DIV/0!</v>
      </c>
      <c r="AQ21" s="430" t="e">
        <f>'Base de Datos'!DL10</f>
        <v>#DIV/0!</v>
      </c>
      <c r="AS21" s="429"/>
      <c r="AT21" s="430"/>
      <c r="AU21" s="430"/>
      <c r="AV21" s="430"/>
      <c r="AW21" s="430" t="e">
        <f>'Base de Datos'!DS10</f>
        <v>#DIV/0!</v>
      </c>
      <c r="AX21" s="430" t="e">
        <f>'Base de Datos'!DT10</f>
        <v>#DIV/0!</v>
      </c>
      <c r="AY21" s="430" t="e">
        <f>'Base de Datos'!DU10</f>
        <v>#DIV/0!</v>
      </c>
      <c r="BA21" s="429">
        <f>'Base de Datos'!DX10</f>
        <v>803.74178285715709</v>
      </c>
      <c r="BB21" s="430">
        <f>'Base de Datos'!DY10</f>
        <v>1158.9559230769346</v>
      </c>
      <c r="BC21" s="430">
        <f>'Base de Datos'!DZ10</f>
        <v>1067.3983499999163</v>
      </c>
      <c r="BD21" s="430"/>
      <c r="BE21" s="430"/>
      <c r="BF21" s="430"/>
      <c r="BG21" s="430"/>
    </row>
    <row r="22" spans="1:59" ht="30" customHeight="1" thickBot="1" x14ac:dyDescent="0.35">
      <c r="A22">
        <v>56</v>
      </c>
      <c r="B22" s="364" t="s">
        <v>241</v>
      </c>
      <c r="C22" s="365">
        <v>310</v>
      </c>
      <c r="D22"/>
      <c r="E22" s="429">
        <v>214.53038674033152</v>
      </c>
      <c r="F22" s="430">
        <v>250</v>
      </c>
      <c r="G22" s="430">
        <v>277.40971357409717</v>
      </c>
      <c r="H22" s="430">
        <v>306</v>
      </c>
      <c r="I22" s="430">
        <v>475.79545454545456</v>
      </c>
      <c r="J22" s="434">
        <v>602.91139240506322</v>
      </c>
      <c r="K22" s="425">
        <v>114.28571428571428</v>
      </c>
      <c r="M22" s="429">
        <f>'Base de Datos'!CE11</f>
        <v>0</v>
      </c>
      <c r="N22" s="430">
        <f>'Base de Datos'!CF11</f>
        <v>278.38164251207729</v>
      </c>
      <c r="O22" s="430">
        <f>'Base de Datos'!CG11</f>
        <v>257.12158808933003</v>
      </c>
      <c r="P22" s="430">
        <f>'Base de Datos'!CH11</f>
        <v>230.34653465346534</v>
      </c>
      <c r="Q22" s="430"/>
      <c r="R22" s="434"/>
      <c r="S22" s="425"/>
      <c r="U22" s="429" t="s">
        <v>333</v>
      </c>
      <c r="V22" s="430">
        <f>'Base de Datos'!CO11</f>
        <v>209.84526112185685</v>
      </c>
      <c r="W22" s="430">
        <f>'Base de Datos'!CP11</f>
        <v>141.86567164179104</v>
      </c>
      <c r="X22" s="430">
        <f>'Base de Datos'!CQ11</f>
        <v>276.76470588235293</v>
      </c>
      <c r="Y22" s="430">
        <f>'Base de Datos'!CR11</f>
        <v>323.81395348837208</v>
      </c>
      <c r="Z22" s="430">
        <f>'Base de Datos'!CS11</f>
        <v>255.54744525547446</v>
      </c>
      <c r="AA22" s="430">
        <f>'Base de Datos'!CT11</f>
        <v>114.82014388489209</v>
      </c>
      <c r="AC22" s="429">
        <f>'Base de Datos'!CW11</f>
        <v>0</v>
      </c>
      <c r="AD22" s="430">
        <f>'Base de Datos'!CX11</f>
        <v>231.3219616204691</v>
      </c>
      <c r="AE22" s="430">
        <f>'Base de Datos'!CY11</f>
        <v>231.93617021276594</v>
      </c>
      <c r="AF22" s="430">
        <f>'Base de Datos'!CZ11</f>
        <v>213.51219512195121</v>
      </c>
      <c r="AG22" s="430">
        <f>'Base de Datos'!DA11</f>
        <v>290.41353383458647</v>
      </c>
      <c r="AH22" s="430">
        <f>'Base de Datos'!DB11</f>
        <v>210.33333333333334</v>
      </c>
      <c r="AI22" s="430">
        <f>'Base de Datos'!DC11</f>
        <v>215.5263157894737</v>
      </c>
      <c r="AK22" s="429">
        <f>'Base de Datos'!DF11</f>
        <v>233.03272352486471</v>
      </c>
      <c r="AL22" s="430">
        <f>'Base de Datos'!DG11</f>
        <v>223.93229166666669</v>
      </c>
      <c r="AM22" s="430">
        <f>'Base de Datos'!DH11</f>
        <v>204.21052631578948</v>
      </c>
      <c r="AN22" s="430">
        <f>'Base de Datos'!DI11</f>
        <v>349.78947368421052</v>
      </c>
      <c r="AO22" s="430" t="e">
        <f>'Base de Datos'!DJ11</f>
        <v>#DIV/0!</v>
      </c>
      <c r="AP22" s="430" t="e">
        <f>'Base de Datos'!DK11</f>
        <v>#DIV/0!</v>
      </c>
      <c r="AQ22" s="430" t="e">
        <f>'Base de Datos'!DL11</f>
        <v>#DIV/0!</v>
      </c>
      <c r="AS22" s="429"/>
      <c r="AT22" s="430"/>
      <c r="AU22" s="430"/>
      <c r="AV22" s="430"/>
      <c r="AW22" s="430" t="e">
        <f>'Base de Datos'!DS11</f>
        <v>#DIV/0!</v>
      </c>
      <c r="AX22" s="430" t="e">
        <f>'Base de Datos'!DT11</f>
        <v>#DIV/0!</v>
      </c>
      <c r="AY22" s="430" t="e">
        <f>'Base de Datos'!DU11</f>
        <v>#DIV/0!</v>
      </c>
      <c r="BA22" s="429">
        <f>'Base de Datos'!DX11</f>
        <v>238.2</v>
      </c>
      <c r="BB22" s="430">
        <f>'Base de Datos'!DY11</f>
        <v>334.23076923076923</v>
      </c>
      <c r="BC22" s="430">
        <f>'Base de Datos'!DZ11</f>
        <v>88</v>
      </c>
      <c r="BD22" s="430"/>
      <c r="BE22" s="430"/>
      <c r="BF22" s="430"/>
      <c r="BG22" s="430"/>
    </row>
    <row r="23" spans="1:59" ht="30" customHeight="1" x14ac:dyDescent="0.3">
      <c r="A23">
        <v>57</v>
      </c>
      <c r="B23" s="366" t="s">
        <v>244</v>
      </c>
      <c r="C23" s="367">
        <v>550</v>
      </c>
      <c r="D23"/>
      <c r="E23" s="429">
        <v>1121.6613259668509</v>
      </c>
      <c r="F23" s="430">
        <v>229.2391055045872</v>
      </c>
      <c r="G23" s="430">
        <v>530.91245330012464</v>
      </c>
      <c r="H23" s="430">
        <v>1272</v>
      </c>
      <c r="I23" s="430">
        <v>1813.4363636363637</v>
      </c>
      <c r="J23" s="434">
        <v>2770.3341772151898</v>
      </c>
      <c r="K23" s="425">
        <v>1103.9272727272726</v>
      </c>
      <c r="M23" s="429">
        <f>'Base de Datos'!CE31</f>
        <v>399.60578947368424</v>
      </c>
      <c r="N23" s="430">
        <f>'Base de Datos'!CF31</f>
        <v>259.61438356164388</v>
      </c>
      <c r="O23" s="430">
        <f>'Base de Datos'!CG31</f>
        <v>277.82679045092834</v>
      </c>
      <c r="P23" s="430">
        <f>'Base de Datos'!CH31</f>
        <v>407.36263736263737</v>
      </c>
      <c r="Q23" s="430"/>
      <c r="R23" s="434"/>
      <c r="S23" s="425"/>
      <c r="U23" s="429" t="s">
        <v>333</v>
      </c>
      <c r="V23" s="430">
        <f>'Base de Datos'!CO31</f>
        <v>368.40635593220333</v>
      </c>
      <c r="W23" s="430">
        <f>'Base de Datos'!CP31</f>
        <v>237.11209150326798</v>
      </c>
      <c r="X23" s="430">
        <f>'Base de Datos'!CQ31</f>
        <v>348.52427983539093</v>
      </c>
      <c r="Y23" s="430">
        <f>'Base de Datos'!CR31</f>
        <v>322.82802197802198</v>
      </c>
      <c r="Z23" s="430">
        <f>'Base de Datos'!CS31</f>
        <v>702.27419354838719</v>
      </c>
      <c r="AA23" s="430" t="s">
        <v>333</v>
      </c>
      <c r="AC23" s="429">
        <f>'Base de Datos'!CW31</f>
        <v>284.19786096256684</v>
      </c>
      <c r="AD23" s="430">
        <f>'Base de Datos'!CX31</f>
        <v>278.5985714285714</v>
      </c>
      <c r="AE23" s="430">
        <f>'Base de Datos'!CY31</f>
        <v>254.94660633484159</v>
      </c>
      <c r="AF23" s="430">
        <f>'Base de Datos'!CZ31</f>
        <v>339.06223021582736</v>
      </c>
      <c r="AG23" s="430">
        <f>'Base de Datos'!DA31</f>
        <v>442.07714285714286</v>
      </c>
      <c r="AH23" s="430">
        <f>'Base de Datos'!DB31</f>
        <v>414.32704918032789</v>
      </c>
      <c r="AI23" s="430">
        <f>'Base de Datos'!DC31</f>
        <v>5544.14</v>
      </c>
      <c r="AK23" s="429">
        <f>'Base de Datos'!DF31</f>
        <v>284.42625368731558</v>
      </c>
      <c r="AL23" s="430">
        <f>'Base de Datos'!DG31</f>
        <v>267.57867647058816</v>
      </c>
      <c r="AM23" s="430">
        <f>'Base de Datos'!DH31</f>
        <v>382.17744107744107</v>
      </c>
      <c r="AN23" s="430">
        <f>'Base de Datos'!DI31</f>
        <v>732.34761904761911</v>
      </c>
      <c r="AO23" s="430" t="e">
        <f>'Base de Datos'!DJ31</f>
        <v>#DIV/0!</v>
      </c>
      <c r="AP23" s="430" t="e">
        <f>'Base de Datos'!DK31</f>
        <v>#DIV/0!</v>
      </c>
      <c r="AQ23" s="430" t="e">
        <f>'Base de Datos'!DL31</f>
        <v>#DIV/0!</v>
      </c>
      <c r="AS23" s="429"/>
      <c r="AT23" s="430"/>
      <c r="AU23" s="430"/>
      <c r="AV23" s="430"/>
      <c r="AW23" s="430">
        <f>'Base de Datos'!DS31</f>
        <v>0</v>
      </c>
      <c r="AX23" s="430">
        <f>'Base de Datos'!DT31</f>
        <v>156.87389705882353</v>
      </c>
      <c r="AY23" s="430">
        <f>'Base de Datos'!DU31</f>
        <v>24.025089605734763</v>
      </c>
      <c r="BA23" s="429"/>
      <c r="BB23" s="430"/>
      <c r="BC23" s="430"/>
      <c r="BD23" s="430">
        <f>'Base de Datos'!EA31</f>
        <v>330.65201310366689</v>
      </c>
      <c r="BE23" s="430"/>
      <c r="BF23" s="430"/>
      <c r="BG23" s="430"/>
    </row>
    <row r="24" spans="1:59" ht="30" customHeight="1" x14ac:dyDescent="0.3">
      <c r="A24">
        <v>58</v>
      </c>
      <c r="B24" s="368" t="s">
        <v>251</v>
      </c>
      <c r="C24" s="369">
        <v>1670</v>
      </c>
      <c r="D24"/>
      <c r="E24" s="429"/>
      <c r="F24" s="430"/>
      <c r="G24" s="430"/>
      <c r="H24" s="430"/>
      <c r="I24" s="430"/>
      <c r="J24" s="434"/>
      <c r="K24" s="425"/>
      <c r="M24" s="429">
        <f>'Base de Datos'!CE28</f>
        <v>0</v>
      </c>
      <c r="N24" s="430">
        <f>'Base de Datos'!CF28</f>
        <v>1221.4840182648402</v>
      </c>
      <c r="O24" s="430">
        <f>'Base de Datos'!CG28</f>
        <v>1393.3421750663128</v>
      </c>
      <c r="P24" s="430">
        <f>'Base de Datos'!CH28</f>
        <v>2103.0219780219782</v>
      </c>
      <c r="Q24" s="430"/>
      <c r="R24" s="434"/>
      <c r="S24" s="425"/>
      <c r="U24" s="429" t="s">
        <v>333</v>
      </c>
      <c r="V24" s="430">
        <f>'Base de Datos'!CO28</f>
        <v>1962.2457627118642</v>
      </c>
      <c r="W24" s="430">
        <f>'Base de Datos'!CP28</f>
        <v>1205.0980392156862</v>
      </c>
      <c r="X24" s="430">
        <f>'Base de Datos'!CQ28</f>
        <v>1835.9670781893003</v>
      </c>
      <c r="Y24" s="430">
        <f>'Base de Datos'!CR28</f>
        <v>1648.0769230769231</v>
      </c>
      <c r="Z24" s="430">
        <f>'Base de Datos'!CS28</f>
        <v>3068.2258064516127</v>
      </c>
      <c r="AA24" s="430" t="s">
        <v>333</v>
      </c>
      <c r="AC24" s="429">
        <f>'Base de Datos'!CW28</f>
        <v>0</v>
      </c>
      <c r="AD24" s="430">
        <f>'Base de Datos'!CX28</f>
        <v>1102.5952380952381</v>
      </c>
      <c r="AE24" s="430">
        <f>'Base de Datos'!CY28</f>
        <v>1370.4751131221719</v>
      </c>
      <c r="AF24" s="430">
        <f>'Base de Datos'!CZ28</f>
        <v>1798.705035971223</v>
      </c>
      <c r="AG24" s="430">
        <f>'Base de Datos'!DA28</f>
        <v>2016.5</v>
      </c>
      <c r="AH24" s="430">
        <f>'Base de Datos'!DB28</f>
        <v>1703.360655737705</v>
      </c>
      <c r="AI24" s="430">
        <f>'Base de Datos'!DC28</f>
        <v>23698</v>
      </c>
      <c r="AK24" s="429">
        <f>'Base de Datos'!DF28</f>
        <v>1545.1032448377578</v>
      </c>
      <c r="AL24" s="430">
        <f>'Base de Datos'!DG28</f>
        <v>1387.377450980392</v>
      </c>
      <c r="AM24" s="430">
        <f>'Base de Datos'!DH28</f>
        <v>1858.3838383838383</v>
      </c>
      <c r="AN24" s="430">
        <f>'Base de Datos'!DI28</f>
        <v>6408.8888888888887</v>
      </c>
      <c r="AO24" s="430" t="e">
        <f>'Base de Datos'!DJ28</f>
        <v>#DIV/0!</v>
      </c>
      <c r="AP24" s="430" t="e">
        <f>'Base de Datos'!DK28</f>
        <v>#DIV/0!</v>
      </c>
      <c r="AQ24" s="430" t="e">
        <f>'Base de Datos'!DL28</f>
        <v>#DIV/0!</v>
      </c>
      <c r="AS24" s="429"/>
      <c r="AT24" s="430"/>
      <c r="AU24" s="430"/>
      <c r="AV24" s="430"/>
      <c r="AW24" s="430">
        <f>'Base de Datos'!DS28</f>
        <v>1569.9494949494949</v>
      </c>
      <c r="AX24" s="430">
        <f>'Base de Datos'!DT28</f>
        <v>1388.5661764705883</v>
      </c>
      <c r="AY24" s="430">
        <f>'Base de Datos'!DU28</f>
        <v>1543.5227854582693</v>
      </c>
      <c r="BA24" s="429"/>
      <c r="BB24" s="430"/>
      <c r="BC24" s="430"/>
      <c r="BD24" s="430">
        <f>'Base de Datos'!EA28</f>
        <v>1734.1223713410122</v>
      </c>
      <c r="BE24" s="430"/>
      <c r="BF24" s="430"/>
      <c r="BG24" s="430"/>
    </row>
    <row r="25" spans="1:59" ht="30" customHeight="1" thickBot="1" x14ac:dyDescent="0.35">
      <c r="A25">
        <v>59</v>
      </c>
      <c r="B25" s="370" t="s">
        <v>245</v>
      </c>
      <c r="C25" s="371">
        <v>520</v>
      </c>
      <c r="D25"/>
      <c r="E25" s="429"/>
      <c r="F25" s="430"/>
      <c r="G25" s="430"/>
      <c r="H25" s="430"/>
      <c r="I25" s="430"/>
      <c r="J25" s="434"/>
      <c r="K25" s="425"/>
      <c r="M25" s="429">
        <f>'Base de Datos'!CE29</f>
        <v>0</v>
      </c>
      <c r="N25" s="430">
        <f>'Base de Datos'!CF29</f>
        <v>245.31963470319636</v>
      </c>
      <c r="O25" s="430">
        <f>'Base de Datos'!CG29</f>
        <v>306.79045092838192</v>
      </c>
      <c r="P25" s="430">
        <f>'Base de Datos'!CH29</f>
        <v>404.23076923076923</v>
      </c>
      <c r="Q25" s="430"/>
      <c r="R25" s="434"/>
      <c r="S25" s="425"/>
      <c r="U25" s="429" t="s">
        <v>333</v>
      </c>
      <c r="V25" s="430">
        <f>'Base de Datos'!CO29</f>
        <v>362.45762711864404</v>
      </c>
      <c r="W25" s="430">
        <f>'Base de Datos'!CP29</f>
        <v>226.33986928104574</v>
      </c>
      <c r="X25" s="430">
        <f>'Base de Datos'!CQ29</f>
        <v>346.37860082304525</v>
      </c>
      <c r="Y25" s="430">
        <f>'Base de Datos'!CR29</f>
        <v>424.34065934065939</v>
      </c>
      <c r="Z25" s="430">
        <f>'Base de Datos'!CS29</f>
        <v>481.45161290322579</v>
      </c>
      <c r="AA25" s="430" t="s">
        <v>333</v>
      </c>
      <c r="AC25" s="429">
        <f>'Base de Datos'!CW29</f>
        <v>0</v>
      </c>
      <c r="AD25" s="430">
        <f>'Base de Datos'!CX29</f>
        <v>203.66666666666666</v>
      </c>
      <c r="AE25" s="430">
        <f>'Base de Datos'!CY29</f>
        <v>261.65158371040724</v>
      </c>
      <c r="AF25" s="430">
        <f>'Base de Datos'!CZ29</f>
        <v>324.8201438848921</v>
      </c>
      <c r="AG25" s="430">
        <f>'Base de Datos'!DA29</f>
        <v>408.57142857142856</v>
      </c>
      <c r="AH25" s="430">
        <f>'Base de Datos'!DB29</f>
        <v>278.44262295081967</v>
      </c>
      <c r="AI25" s="430">
        <f>'Base de Datos'!DC29</f>
        <v>954</v>
      </c>
      <c r="AK25" s="429">
        <f>'Base de Datos'!DF29</f>
        <v>295.30973451327429</v>
      </c>
      <c r="AL25" s="430">
        <f>'Base de Datos'!DG29</f>
        <v>258.35784313725486</v>
      </c>
      <c r="AM25" s="430">
        <f>'Base de Datos'!DH29</f>
        <v>371.68350168350167</v>
      </c>
      <c r="AN25" s="430">
        <f>'Base de Datos'!DI29</f>
        <v>837.14285714285711</v>
      </c>
      <c r="AO25" s="430" t="e">
        <f>'Base de Datos'!DJ29</f>
        <v>#DIV/0!</v>
      </c>
      <c r="AP25" s="430" t="e">
        <f>'Base de Datos'!DK29</f>
        <v>#DIV/0!</v>
      </c>
      <c r="AQ25" s="430" t="e">
        <f>'Base de Datos'!DL29</f>
        <v>#DIV/0!</v>
      </c>
      <c r="AS25" s="429"/>
      <c r="AT25" s="430"/>
      <c r="AU25" s="430"/>
      <c r="AV25" s="430"/>
      <c r="AW25" s="430">
        <f>'Base de Datos'!DS29</f>
        <v>362.82828282828279</v>
      </c>
      <c r="AX25" s="430">
        <f>'Base de Datos'!DT29</f>
        <v>271.3235294117647</v>
      </c>
      <c r="AY25" s="430">
        <f>'Base de Datos'!DU29</f>
        <v>370.09728622631849</v>
      </c>
      <c r="BA25" s="429"/>
      <c r="BB25" s="430"/>
      <c r="BC25" s="430"/>
      <c r="BD25" s="430">
        <f>'Base de Datos'!EA29</f>
        <v>376.51907428933737</v>
      </c>
      <c r="BE25" s="430"/>
      <c r="BF25" s="430"/>
      <c r="BG25" s="430"/>
    </row>
    <row r="26" spans="1:59" ht="30" customHeight="1" thickBot="1" x14ac:dyDescent="0.35">
      <c r="A26">
        <v>60</v>
      </c>
      <c r="B26" s="372" t="s">
        <v>259</v>
      </c>
      <c r="C26" s="373">
        <v>40</v>
      </c>
      <c r="D26"/>
      <c r="E26" s="429">
        <v>39.198895027624317</v>
      </c>
      <c r="F26" s="430">
        <v>4.8911376146789003</v>
      </c>
      <c r="G26" s="430">
        <v>29.972945205479451</v>
      </c>
      <c r="H26" s="430">
        <v>26.5</v>
      </c>
      <c r="I26" s="430">
        <v>45.711439393939393</v>
      </c>
      <c r="J26" s="434">
        <v>58.873468354430379</v>
      </c>
      <c r="K26" s="425">
        <v>18.77448051948052</v>
      </c>
      <c r="M26" s="429">
        <f>'Base de Datos'!CE122</f>
        <v>5.9992786885245897</v>
      </c>
      <c r="N26" s="430">
        <f>'Base de Datos'!CF122</f>
        <v>25.17816784037559</v>
      </c>
      <c r="O26" s="430">
        <f>'Base de Datos'!CG122</f>
        <v>25.504910256410255</v>
      </c>
      <c r="P26" s="430">
        <f>'Base de Datos'!CH122</f>
        <v>26.777970989761094</v>
      </c>
      <c r="Q26" s="430"/>
      <c r="R26" s="434"/>
      <c r="S26" s="425"/>
      <c r="U26" s="429" t="s">
        <v>333</v>
      </c>
      <c r="V26" s="430">
        <v>39.369999999999997</v>
      </c>
      <c r="W26" s="430">
        <f>'Base de Datos'!CP122</f>
        <v>20.630901425178148</v>
      </c>
      <c r="X26" s="430">
        <f>'Base de Datos'!CQ122</f>
        <v>33.895540308747854</v>
      </c>
      <c r="Y26" s="430">
        <f>'Base de Datos'!CR122</f>
        <v>32.607959697732994</v>
      </c>
      <c r="Z26" s="430">
        <f>'Base de Datos'!CS122</f>
        <v>15.479195979899499</v>
      </c>
      <c r="AA26" s="430">
        <f>'Base de Datos'!CT122</f>
        <v>18.211266187050359</v>
      </c>
      <c r="AC26" s="417">
        <f>'Base de Datos'!CW122</f>
        <v>5.8725020080321286</v>
      </c>
      <c r="AD26" s="418">
        <f>'Base de Datos'!CX122</f>
        <v>32.216814960629918</v>
      </c>
      <c r="AE26" s="418">
        <f>'Base de Datos'!CY122</f>
        <v>26.010128289473684</v>
      </c>
      <c r="AF26" s="418">
        <f>'Base de Datos'!CZ122</f>
        <v>37.063337209302333</v>
      </c>
      <c r="AG26" s="418">
        <f>'Base de Datos'!DA122</f>
        <v>49.484620689655173</v>
      </c>
      <c r="AH26" s="418">
        <f>'Base de Datos'!DB122</f>
        <v>35.882921487603305</v>
      </c>
      <c r="AI26" s="418">
        <f>'Base de Datos'!DC122</f>
        <v>45.952370370370375</v>
      </c>
      <c r="AK26" s="417">
        <f>'Base de Datos'!DF122</f>
        <v>39.728256085820384</v>
      </c>
      <c r="AL26" s="418">
        <f>'Base de Datos'!DG122</f>
        <v>36.128941919191924</v>
      </c>
      <c r="AM26" s="418">
        <f>'Base de Datos'!DH122</f>
        <v>37.595025232403721</v>
      </c>
      <c r="AN26" s="418">
        <f>'Base de Datos'!DI122</f>
        <v>53.698545454545453</v>
      </c>
      <c r="AO26" s="418" t="e">
        <f>'Base de Datos'!DJ122</f>
        <v>#DIV/0!</v>
      </c>
      <c r="AP26" s="418" t="e">
        <f>'Base de Datos'!DK122</f>
        <v>#DIV/0!</v>
      </c>
      <c r="AQ26" s="418" t="e">
        <f>'Base de Datos'!DL122</f>
        <v>#DIV/0!</v>
      </c>
      <c r="AS26" s="417"/>
      <c r="AT26" s="418"/>
      <c r="AU26" s="418"/>
      <c r="AV26" s="418"/>
      <c r="AW26" s="418">
        <f>'Base de Datos'!DS122</f>
        <v>60.885808080808076</v>
      </c>
      <c r="AX26" s="418">
        <f>'Base de Datos'!DT122</f>
        <v>63.597981617647058</v>
      </c>
      <c r="AY26" s="418">
        <f>'Base de Datos'!DU122</f>
        <v>48.660230414746543</v>
      </c>
      <c r="BA26" s="417">
        <f>'Base de Datos'!DX122</f>
        <v>4.4499771428571426</v>
      </c>
      <c r="BB26" s="418">
        <f>'Base de Datos'!DY122</f>
        <v>3.3386115384615382</v>
      </c>
      <c r="BC26" s="418">
        <f>'Base de Datos'!DZ122</f>
        <v>4.3366486810551557</v>
      </c>
      <c r="BD26" s="418">
        <f>'Base de Datos'!EA122</f>
        <v>65.143759907006228</v>
      </c>
      <c r="BE26" s="418">
        <f>'Base de Datos'!EB122</f>
        <v>0</v>
      </c>
      <c r="BF26" s="418">
        <f>'Base de Datos'!EC122</f>
        <v>0</v>
      </c>
      <c r="BG26" s="418">
        <f>'Base de Datos'!ED122</f>
        <v>0</v>
      </c>
    </row>
    <row r="27" spans="1:59" ht="30" customHeight="1" x14ac:dyDescent="0.3">
      <c r="A27">
        <v>61</v>
      </c>
      <c r="B27" s="498" t="s">
        <v>286</v>
      </c>
      <c r="C27" s="501">
        <v>10000</v>
      </c>
      <c r="D27"/>
      <c r="E27" s="435"/>
      <c r="F27" s="436"/>
      <c r="G27" s="436"/>
      <c r="H27" s="436"/>
      <c r="I27" s="436"/>
      <c r="J27" s="437"/>
      <c r="K27" s="428"/>
      <c r="M27" s="429">
        <v>4825</v>
      </c>
      <c r="N27" s="430">
        <v>12477</v>
      </c>
      <c r="O27" s="430">
        <v>9723</v>
      </c>
      <c r="P27" s="430">
        <v>9458</v>
      </c>
      <c r="Q27" s="430"/>
      <c r="R27" s="434"/>
      <c r="S27" s="425"/>
      <c r="U27" s="429"/>
      <c r="V27" s="430"/>
      <c r="W27" s="430"/>
      <c r="X27" s="430"/>
      <c r="Y27" s="430"/>
      <c r="Z27" s="434"/>
      <c r="AA27" s="425"/>
      <c r="AC27" s="432"/>
      <c r="AD27" s="433"/>
      <c r="AE27" s="433"/>
      <c r="AF27" s="433"/>
      <c r="AG27" s="433"/>
      <c r="AH27" s="597"/>
      <c r="AI27" s="422"/>
      <c r="AK27" s="432"/>
      <c r="AL27" s="433"/>
      <c r="AM27" s="433"/>
      <c r="AN27" s="433"/>
      <c r="AO27" s="433"/>
      <c r="AP27" s="597"/>
      <c r="AQ27" s="422"/>
      <c r="AS27" s="432"/>
      <c r="AT27" s="433"/>
      <c r="AU27" s="433"/>
      <c r="AV27" s="433"/>
      <c r="AW27" s="433"/>
      <c r="AX27" s="597"/>
      <c r="AY27" s="422"/>
      <c r="BA27" s="432"/>
      <c r="BB27" s="433"/>
      <c r="BC27" s="433"/>
      <c r="BD27" s="433"/>
      <c r="BE27" s="433"/>
      <c r="BF27" s="597"/>
      <c r="BG27" s="422"/>
    </row>
    <row r="28" spans="1:59" ht="30" customHeight="1" thickBot="1" x14ac:dyDescent="0.35">
      <c r="A28">
        <v>62</v>
      </c>
      <c r="B28" s="499" t="s">
        <v>285</v>
      </c>
      <c r="C28" s="500" t="s">
        <v>287</v>
      </c>
      <c r="D28"/>
      <c r="E28" s="494"/>
      <c r="F28" s="495"/>
      <c r="G28" s="495"/>
      <c r="H28" s="495"/>
      <c r="I28" s="495"/>
      <c r="J28" s="496"/>
      <c r="K28" s="497"/>
      <c r="M28" s="417"/>
      <c r="N28" s="418"/>
      <c r="O28" s="418"/>
      <c r="P28" s="418"/>
      <c r="Q28" s="418"/>
      <c r="R28" s="470"/>
      <c r="S28" s="471"/>
      <c r="U28" s="435"/>
      <c r="V28" s="436"/>
      <c r="W28" s="436"/>
      <c r="X28" s="436"/>
      <c r="Y28" s="436"/>
      <c r="Z28" s="437"/>
      <c r="AA28" s="428"/>
      <c r="AC28" s="435"/>
      <c r="AD28" s="436"/>
      <c r="AE28" s="436"/>
      <c r="AF28" s="436"/>
      <c r="AG28" s="436"/>
      <c r="AH28" s="437"/>
      <c r="AI28" s="428"/>
      <c r="AK28" s="435"/>
      <c r="AL28" s="436"/>
      <c r="AM28" s="436"/>
      <c r="AN28" s="436"/>
      <c r="AO28" s="436"/>
      <c r="AP28" s="437"/>
      <c r="AQ28" s="428"/>
      <c r="AS28" s="435"/>
      <c r="AT28" s="436"/>
      <c r="AU28" s="436"/>
      <c r="AV28" s="436"/>
      <c r="AW28" s="436"/>
      <c r="AX28" s="437"/>
      <c r="AY28" s="428"/>
      <c r="BA28" s="435"/>
      <c r="BB28" s="436"/>
      <c r="BC28" s="436"/>
      <c r="BD28" s="436"/>
      <c r="BE28" s="436"/>
      <c r="BF28" s="437"/>
      <c r="BG28" s="428"/>
    </row>
    <row r="29" spans="1:59" ht="24.9" customHeight="1" thickBot="1" x14ac:dyDescent="0.35">
      <c r="A29">
        <v>63</v>
      </c>
      <c r="B29" s="718" t="s">
        <v>253</v>
      </c>
      <c r="C29" s="719"/>
      <c r="D29"/>
      <c r="E29" s="686"/>
      <c r="F29" s="687"/>
      <c r="G29" s="687"/>
      <c r="H29" s="687"/>
      <c r="I29" s="687"/>
      <c r="J29" s="687"/>
      <c r="K29" s="688"/>
      <c r="M29" s="728"/>
      <c r="N29" s="729"/>
      <c r="O29" s="729"/>
      <c r="P29" s="729"/>
      <c r="Q29" s="729"/>
      <c r="R29" s="729"/>
      <c r="S29" s="730"/>
      <c r="U29" s="686"/>
      <c r="V29" s="687"/>
      <c r="W29" s="687"/>
      <c r="X29" s="687"/>
      <c r="Y29" s="687"/>
      <c r="Z29" s="687"/>
      <c r="AA29" s="688"/>
      <c r="AC29" s="656"/>
      <c r="AD29" s="657"/>
      <c r="AE29" s="657"/>
      <c r="AF29" s="657"/>
      <c r="AG29" s="657"/>
      <c r="AH29" s="657"/>
      <c r="AI29" s="658"/>
      <c r="AK29" s="656"/>
      <c r="AL29" s="657"/>
      <c r="AM29" s="657"/>
      <c r="AN29" s="657"/>
      <c r="AO29" s="657"/>
      <c r="AP29" s="657"/>
      <c r="AQ29" s="658"/>
      <c r="AS29" s="656"/>
      <c r="AT29" s="657"/>
      <c r="AU29" s="657"/>
      <c r="AV29" s="657"/>
      <c r="AW29" s="657"/>
      <c r="AX29" s="657"/>
      <c r="AY29" s="658"/>
      <c r="BA29" s="656"/>
      <c r="BB29" s="657"/>
      <c r="BC29" s="657"/>
      <c r="BD29" s="657"/>
      <c r="BE29" s="657"/>
      <c r="BF29" s="657"/>
      <c r="BG29" s="658"/>
    </row>
    <row r="30" spans="1:59" ht="30" customHeight="1" x14ac:dyDescent="0.3">
      <c r="A30">
        <v>64</v>
      </c>
      <c r="B30" s="374" t="s">
        <v>252</v>
      </c>
      <c r="C30" s="507">
        <v>6</v>
      </c>
      <c r="D30"/>
      <c r="E30" s="432">
        <v>3.9539380645161293</v>
      </c>
      <c r="F30" s="433">
        <v>3.1487524752475249</v>
      </c>
      <c r="G30" s="433">
        <v>6.0532258064516116</v>
      </c>
      <c r="H30" s="433">
        <v>3.1</v>
      </c>
      <c r="I30" s="433">
        <v>24.407988923076921</v>
      </c>
      <c r="J30" s="433" t="s">
        <v>232</v>
      </c>
      <c r="K30" s="459" t="s">
        <v>232</v>
      </c>
      <c r="M30" s="432">
        <f>'Base de Datos'!CE129</f>
        <v>6.2749180327868848</v>
      </c>
      <c r="N30" s="433">
        <f>'Base de Datos'!CF129</f>
        <v>2.6848791549295776</v>
      </c>
      <c r="O30" s="433">
        <f>'Base de Datos'!CG129</f>
        <v>4.3704983076923076</v>
      </c>
      <c r="P30" s="433">
        <f>'Base de Datos'!CH129</f>
        <v>3.9269359044368604</v>
      </c>
      <c r="Q30" s="433">
        <f>'Base de Datos'!CI129</f>
        <v>0</v>
      </c>
      <c r="R30" s="433">
        <f>'Base de Datos'!CJ129</f>
        <v>0</v>
      </c>
      <c r="S30" s="459">
        <f>'Base de Datos'!CK129</f>
        <v>0</v>
      </c>
      <c r="U30" s="429" t="e">
        <f>'Base de Datos'!CN129</f>
        <v>#DIV/0!</v>
      </c>
      <c r="V30" s="430">
        <f>'Base de Datos'!CO129</f>
        <v>4.2514532270916323</v>
      </c>
      <c r="W30" s="430">
        <f>'Base de Datos'!CP129</f>
        <v>4.3120009026128265</v>
      </c>
      <c r="X30" s="430">
        <f>'Base de Datos'!CQ129</f>
        <v>4.9156758833619207</v>
      </c>
      <c r="Y30" s="430">
        <f>'Base de Datos'!CR129</f>
        <v>4.1136229722921911</v>
      </c>
      <c r="Z30" s="430">
        <f>'Base de Datos'!CS129</f>
        <v>0.31532201005025129</v>
      </c>
      <c r="AA30" s="430">
        <f>'Base de Datos'!CT129</f>
        <v>0.96172057553956825</v>
      </c>
      <c r="AC30" s="480">
        <f>'Base de Datos'!CW129</f>
        <v>0</v>
      </c>
      <c r="AD30" s="480">
        <f>'Base de Datos'!CX129</f>
        <v>3.7257217997750276</v>
      </c>
      <c r="AE30" s="480">
        <f>'Base de Datos'!CY129</f>
        <v>3.3560135526315786</v>
      </c>
      <c r="AF30" s="480" t="e">
        <f>'Base de Datos'!CZ129</f>
        <v>#DIV/0!</v>
      </c>
      <c r="AG30" s="480" t="e">
        <f>'Base de Datos'!DA129</f>
        <v>#DIV/0!</v>
      </c>
      <c r="AH30" s="480" t="e">
        <f>'Base de Datos'!DB129</f>
        <v>#DIV/0!</v>
      </c>
      <c r="AI30" s="480" t="e">
        <f>'Base de Datos'!DC129</f>
        <v>#DIV/0!</v>
      </c>
      <c r="AK30" s="479">
        <f>'Base de Datos'!DF129</f>
        <v>4.546628689313712</v>
      </c>
      <c r="AL30" s="480">
        <f>'Base de Datos'!DG129</f>
        <v>3.3672690909090903</v>
      </c>
      <c r="AM30" s="480">
        <f>'Base de Datos'!DH129</f>
        <v>3.563668685258965</v>
      </c>
      <c r="AN30" s="480" t="e">
        <f>'Base de Datos'!DI129</f>
        <v>#DIV/0!</v>
      </c>
      <c r="AO30" s="480" t="e">
        <f>'Base de Datos'!DJ129</f>
        <v>#DIV/0!</v>
      </c>
      <c r="AP30" s="480" t="e">
        <f>'Base de Datos'!DK129</f>
        <v>#DIV/0!</v>
      </c>
      <c r="AQ30" s="480" t="e">
        <f>'Base de Datos'!DL129</f>
        <v>#DIV/0!</v>
      </c>
      <c r="AS30" s="479"/>
      <c r="AT30" s="480"/>
      <c r="AU30" s="480"/>
      <c r="AV30" s="480"/>
      <c r="AW30" s="480" t="e">
        <f>'Base de Datos'!DS129</f>
        <v>#DIV/0!</v>
      </c>
      <c r="AX30" s="480" t="e">
        <f>'Base de Datos'!DT129</f>
        <v>#DIV/0!</v>
      </c>
      <c r="AY30" s="480" t="e">
        <f>'Base de Datos'!DU129</f>
        <v>#DIV/0!</v>
      </c>
      <c r="BA30" s="479">
        <f>'Base de Datos'!DX129</f>
        <v>0.19078457142857141</v>
      </c>
      <c r="BB30" s="480">
        <f>'Base de Datos'!DY129</f>
        <v>1.3283335384615382</v>
      </c>
      <c r="BC30" s="480">
        <f>'Base de Datos'!DZ129</f>
        <v>3.0027466187050353</v>
      </c>
      <c r="BD30" s="480">
        <f>'Base de Datos'!EA129</f>
        <v>17.93721779562506</v>
      </c>
      <c r="BE30" s="480"/>
      <c r="BF30" s="480"/>
      <c r="BG30" s="480"/>
    </row>
    <row r="31" spans="1:59" ht="30" customHeight="1" x14ac:dyDescent="0.3">
      <c r="A31">
        <v>65</v>
      </c>
      <c r="B31" s="375" t="s">
        <v>264</v>
      </c>
      <c r="C31" s="506" t="s">
        <v>287</v>
      </c>
      <c r="D31"/>
      <c r="E31" s="429">
        <v>63.4</v>
      </c>
      <c r="F31" s="430">
        <v>0</v>
      </c>
      <c r="G31" s="430">
        <v>140</v>
      </c>
      <c r="H31" s="430">
        <v>151.13</v>
      </c>
      <c r="I31" s="430">
        <v>149.97999999999999</v>
      </c>
      <c r="J31" s="430">
        <v>135.33000000000001</v>
      </c>
      <c r="K31" s="431">
        <v>54.53</v>
      </c>
      <c r="M31" s="429">
        <f>'Base de Datos'!CE65</f>
        <v>0</v>
      </c>
      <c r="N31" s="430">
        <f>'Base de Datos'!CF65</f>
        <v>362.14</v>
      </c>
      <c r="O31" s="430">
        <f>'Base de Datos'!CG65</f>
        <v>134.13</v>
      </c>
      <c r="P31" s="430">
        <f>'Base de Datos'!CH65</f>
        <v>131.79</v>
      </c>
      <c r="Q31" s="430">
        <f>'Base de Datos'!CI65</f>
        <v>137</v>
      </c>
      <c r="R31" s="430">
        <f>'Base de Datos'!CJ65</f>
        <v>124</v>
      </c>
      <c r="S31" s="431">
        <f>'Base de Datos'!CK65</f>
        <v>128</v>
      </c>
      <c r="U31" s="429">
        <f>'Base de Datos'!CN65</f>
        <v>128</v>
      </c>
      <c r="V31" s="430">
        <f>'Base de Datos'!CO65</f>
        <v>136.22999999999999</v>
      </c>
      <c r="W31" s="430">
        <f>'Base de Datos'!CP65</f>
        <v>92.91</v>
      </c>
      <c r="X31" s="430">
        <f>'Base de Datos'!CQ65</f>
        <v>126.64</v>
      </c>
      <c r="Y31" s="430">
        <f>'Base de Datos'!CR65</f>
        <v>144.12</v>
      </c>
      <c r="Z31" s="430">
        <f>'Base de Datos'!CS65</f>
        <v>143.03</v>
      </c>
      <c r="AA31" s="430">
        <f>'Base de Datos'!CT65</f>
        <v>103.31</v>
      </c>
      <c r="AC31" s="532">
        <f>'Base de Datos'!CW65</f>
        <v>0</v>
      </c>
      <c r="AD31" s="530">
        <f>'Base de Datos'!CX65</f>
        <v>294.63</v>
      </c>
      <c r="AE31" s="530">
        <f>'Base de Datos'!CY65</f>
        <v>119.01</v>
      </c>
      <c r="AF31" s="530">
        <f>'Base de Datos'!CZ65</f>
        <v>118.99</v>
      </c>
      <c r="AG31" s="530">
        <f>'Base de Datos'!DA65</f>
        <v>116.06</v>
      </c>
      <c r="AH31" s="530">
        <f>'Base de Datos'!DB65</f>
        <v>119.6</v>
      </c>
      <c r="AI31" s="530">
        <f>'Base de Datos'!DC65</f>
        <v>133.15</v>
      </c>
      <c r="AK31" s="532">
        <f>'Base de Datos'!DF65</f>
        <v>139.27000000000001</v>
      </c>
      <c r="AL31" s="530">
        <f>'Base de Datos'!DG65</f>
        <v>129.91999999999999</v>
      </c>
      <c r="AM31" s="530">
        <f>'Base de Datos'!DH65</f>
        <v>94.07</v>
      </c>
      <c r="AN31" s="530">
        <f>'Base de Datos'!DI65</f>
        <v>126.49</v>
      </c>
      <c r="AO31" s="530">
        <f>'Base de Datos'!DJ65</f>
        <v>0</v>
      </c>
      <c r="AP31" s="530">
        <f>'Base de Datos'!DK65</f>
        <v>0</v>
      </c>
      <c r="AQ31" s="530">
        <f>'Base de Datos'!DL65</f>
        <v>0</v>
      </c>
      <c r="AS31" s="532"/>
      <c r="AT31" s="530"/>
      <c r="AU31" s="530"/>
      <c r="AV31" s="530"/>
      <c r="AW31" s="530">
        <f>'Base de Datos'!DS65</f>
        <v>112.52</v>
      </c>
      <c r="AX31" s="530">
        <f>'Base de Datos'!DT65</f>
        <v>127.75</v>
      </c>
      <c r="AY31" s="530">
        <f>'Base de Datos'!DU65</f>
        <v>124.2</v>
      </c>
      <c r="BA31" s="532">
        <f>'Base de Datos'!DX65</f>
        <v>124.85</v>
      </c>
      <c r="BB31" s="530">
        <f>'Base de Datos'!DY65</f>
        <v>116.52</v>
      </c>
      <c r="BC31" s="530">
        <f>'Base de Datos'!DZ65</f>
        <v>113.63</v>
      </c>
      <c r="BD31" s="530">
        <f>'Base de Datos'!EA65</f>
        <v>109.94</v>
      </c>
      <c r="BE31" s="530"/>
      <c r="BF31" s="530"/>
      <c r="BG31" s="530"/>
    </row>
    <row r="32" spans="1:59" ht="30" customHeight="1" x14ac:dyDescent="0.3">
      <c r="A32">
        <v>66</v>
      </c>
      <c r="B32" s="375" t="s">
        <v>263</v>
      </c>
      <c r="C32" s="506" t="s">
        <v>287</v>
      </c>
      <c r="D32"/>
      <c r="E32" s="438">
        <v>10208</v>
      </c>
      <c r="F32" s="439">
        <v>8834</v>
      </c>
      <c r="G32" s="439">
        <v>6241</v>
      </c>
      <c r="H32" s="439">
        <v>8752</v>
      </c>
      <c r="I32" s="439">
        <v>4392</v>
      </c>
      <c r="J32" s="439">
        <v>208</v>
      </c>
      <c r="K32" s="440">
        <v>371.5</v>
      </c>
      <c r="M32" s="438">
        <f>'Base de Datos'!CE66</f>
        <v>8506</v>
      </c>
      <c r="N32" s="439">
        <f>'Base de Datos'!CF66</f>
        <v>6318</v>
      </c>
      <c r="O32" s="439">
        <f>'Base de Datos'!CG66</f>
        <v>9456</v>
      </c>
      <c r="P32" s="439">
        <f>'Base de Datos'!CH66</f>
        <v>6379</v>
      </c>
      <c r="Q32" s="439">
        <f>'Base de Datos'!CI66</f>
        <v>933</v>
      </c>
      <c r="R32" s="439">
        <f>'Base de Datos'!CJ66</f>
        <v>285</v>
      </c>
      <c r="S32" s="440">
        <f>'Base de Datos'!CK66</f>
        <v>0</v>
      </c>
      <c r="U32" s="438">
        <f>'Base de Datos'!CN66</f>
        <v>1049</v>
      </c>
      <c r="V32" s="439">
        <f>'Base de Datos'!CO66</f>
        <v>8879</v>
      </c>
      <c r="W32" s="439">
        <f>'Base de Datos'!CP66</f>
        <v>10076</v>
      </c>
      <c r="X32" s="439">
        <f>'Base de Datos'!CQ66</f>
        <v>7948</v>
      </c>
      <c r="Y32" s="439">
        <f>'Base de Datos'!CR66</f>
        <v>4522</v>
      </c>
      <c r="Z32" s="439">
        <f>'Base de Datos'!CS66</f>
        <v>160</v>
      </c>
      <c r="AA32" s="440">
        <f>'Base de Datos'!CT66</f>
        <v>361</v>
      </c>
      <c r="AC32" s="438">
        <f>'Base de Datos'!CW66</f>
        <v>9999</v>
      </c>
      <c r="AD32" s="439">
        <f>'Base de Datos'!CX66</f>
        <v>9171</v>
      </c>
      <c r="AE32" s="439">
        <f>'Base de Datos'!CY66</f>
        <v>8490</v>
      </c>
      <c r="AF32" s="439">
        <f>'Base de Datos'!CZ66</f>
        <v>8511</v>
      </c>
      <c r="AG32" s="439">
        <f>'Base de Datos'!DA66</f>
        <v>4951</v>
      </c>
      <c r="AH32" s="439">
        <f>'Base de Datos'!DB66</f>
        <v>991.5</v>
      </c>
      <c r="AI32" s="439">
        <f>'Base de Datos'!DC66</f>
        <v>449</v>
      </c>
      <c r="AK32" s="438">
        <f>'Base de Datos'!DF66</f>
        <v>9169</v>
      </c>
      <c r="AL32" s="439">
        <f>'Base de Datos'!DG66</f>
        <v>7395</v>
      </c>
      <c r="AM32" s="439">
        <f>'Base de Datos'!DH66</f>
        <v>7444.6</v>
      </c>
      <c r="AN32" s="439">
        <f>'Base de Datos'!DI66</f>
        <v>2910</v>
      </c>
      <c r="AO32" s="439">
        <f>'Base de Datos'!DJ66</f>
        <v>0</v>
      </c>
      <c r="AP32" s="439">
        <f>'Base de Datos'!DK66</f>
        <v>0</v>
      </c>
      <c r="AQ32" s="439">
        <f>'Base de Datos'!DL66</f>
        <v>0</v>
      </c>
      <c r="AS32" s="438"/>
      <c r="AT32" s="439"/>
      <c r="AU32" s="439"/>
      <c r="AV32" s="439"/>
      <c r="AW32" s="439">
        <f>'Base de Datos'!DS66</f>
        <v>993.8</v>
      </c>
      <c r="AX32" s="439">
        <f>'Base de Datos'!DT66</f>
        <v>265.89999999999998</v>
      </c>
      <c r="AY32" s="439">
        <f>'Base de Datos'!DU66</f>
        <v>149</v>
      </c>
      <c r="BA32" s="438">
        <f>'Base de Datos'!DX66</f>
        <v>173</v>
      </c>
      <c r="BB32" s="439">
        <f>'Base de Datos'!DY66</f>
        <v>947.7</v>
      </c>
      <c r="BC32" s="439">
        <f>'Base de Datos'!DZ66</f>
        <v>6945</v>
      </c>
      <c r="BD32" s="439">
        <f>'Base de Datos'!EA66</f>
        <v>9419</v>
      </c>
      <c r="BE32" s="439"/>
      <c r="BF32" s="439"/>
      <c r="BG32" s="439"/>
    </row>
    <row r="33" spans="1:59" ht="30" customHeight="1" x14ac:dyDescent="0.3">
      <c r="A33">
        <v>67</v>
      </c>
      <c r="B33" s="375" t="s">
        <v>262</v>
      </c>
      <c r="C33" s="506">
        <v>100</v>
      </c>
      <c r="D33"/>
      <c r="E33" s="438">
        <v>98.14</v>
      </c>
      <c r="F33" s="439">
        <v>86.72</v>
      </c>
      <c r="G33" s="439">
        <v>68.64</v>
      </c>
      <c r="H33" s="439">
        <v>81.92</v>
      </c>
      <c r="I33" s="439">
        <v>37.25</v>
      </c>
      <c r="J33" s="439">
        <v>1.91</v>
      </c>
      <c r="K33" s="440">
        <v>4.78</v>
      </c>
      <c r="M33" s="438">
        <f>'Base de Datos'!CE67</f>
        <v>85.88</v>
      </c>
      <c r="N33" s="439">
        <f>'Base de Datos'!CF67</f>
        <v>65.42</v>
      </c>
      <c r="O33" s="439">
        <f>'Base de Datos'!CG67</f>
        <v>93.86</v>
      </c>
      <c r="P33" s="439">
        <f>'Base de Datos'!CH67</f>
        <v>66.3</v>
      </c>
      <c r="Q33" s="439">
        <f>'Base de Datos'!CI67</f>
        <v>13.93</v>
      </c>
      <c r="R33" s="439">
        <f>'Base de Datos'!CJ67</f>
        <v>9.82</v>
      </c>
      <c r="S33" s="440">
        <f>'Base de Datos'!CK67</f>
        <v>7.12</v>
      </c>
      <c r="U33" s="438">
        <f>'Base de Datos'!CN67</f>
        <v>11.25</v>
      </c>
      <c r="V33" s="439">
        <f>'Base de Datos'!CO67</f>
        <v>85.39</v>
      </c>
      <c r="W33" s="439">
        <f>'Base de Datos'!CP67</f>
        <v>104.5</v>
      </c>
      <c r="X33" s="439">
        <f>'Base de Datos'!CQ67</f>
        <v>71.75</v>
      </c>
      <c r="Y33" s="439">
        <f>'Base de Datos'!CR67</f>
        <v>45.91</v>
      </c>
      <c r="Z33" s="439">
        <f>'Base de Datos'!CS67</f>
        <v>6.9</v>
      </c>
      <c r="AA33" s="440">
        <f>'Base de Datos'!CT67</f>
        <v>6.02</v>
      </c>
      <c r="AC33" s="438">
        <f>'Base de Datos'!CW67</f>
        <v>103.96</v>
      </c>
      <c r="AD33" s="439">
        <f>'Base de Datos'!CX67</f>
        <v>84.05</v>
      </c>
      <c r="AE33" s="439">
        <f>'Base de Datos'!CY67</f>
        <v>83.56</v>
      </c>
      <c r="AF33" s="439">
        <f>'Base de Datos'!CZ67</f>
        <v>85.57</v>
      </c>
      <c r="AG33" s="439">
        <f>'Base de Datos'!DA67</f>
        <v>58.37</v>
      </c>
      <c r="AH33" s="439">
        <f>'Base de Datos'!DB67</f>
        <v>15.82</v>
      </c>
      <c r="AI33" s="439">
        <f>'Base de Datos'!DC67</f>
        <v>14.31</v>
      </c>
      <c r="AK33" s="438">
        <f>'Base de Datos'!DF67</f>
        <v>82.37</v>
      </c>
      <c r="AL33" s="439">
        <f>'Base de Datos'!DG67</f>
        <v>79.67</v>
      </c>
      <c r="AM33" s="439">
        <f>'Base de Datos'!DH67</f>
        <v>63.01</v>
      </c>
      <c r="AN33" s="439">
        <f>'Base de Datos'!DI67</f>
        <v>34.35</v>
      </c>
      <c r="AO33" s="439">
        <f>'Base de Datos'!DJ67</f>
        <v>0</v>
      </c>
      <c r="AP33" s="439">
        <f>'Base de Datos'!DK67</f>
        <v>0</v>
      </c>
      <c r="AQ33" s="439">
        <f>'Base de Datos'!DL67</f>
        <v>0</v>
      </c>
      <c r="AS33" s="438"/>
      <c r="AT33" s="439"/>
      <c r="AU33" s="439"/>
      <c r="AV33" s="439"/>
      <c r="AW33" s="439">
        <f>'Base de Datos'!DS67</f>
        <v>0</v>
      </c>
      <c r="AX33" s="439">
        <f>'Base de Datos'!DT67</f>
        <v>0.14000000000000001</v>
      </c>
      <c r="AY33" s="439">
        <f>'Base de Datos'!DU67</f>
        <v>0</v>
      </c>
      <c r="BA33" s="438">
        <f>'Base de Datos'!DX67</f>
        <v>0.93</v>
      </c>
      <c r="BB33" s="439">
        <f>'Base de Datos'!DY67</f>
        <v>7.04</v>
      </c>
      <c r="BC33" s="439">
        <f>'Base de Datos'!DZ67</f>
        <v>72.75</v>
      </c>
      <c r="BD33" s="439">
        <f>'Base de Datos'!EA67</f>
        <v>83.6</v>
      </c>
      <c r="BE33" s="439"/>
      <c r="BF33" s="439"/>
      <c r="BG33" s="439"/>
    </row>
    <row r="34" spans="1:59" ht="30" customHeight="1" x14ac:dyDescent="0.3">
      <c r="A34">
        <v>68</v>
      </c>
      <c r="B34" s="375" t="s">
        <v>260</v>
      </c>
      <c r="C34" s="506" t="s">
        <v>232</v>
      </c>
      <c r="D34"/>
      <c r="E34" s="438">
        <v>68.05</v>
      </c>
      <c r="F34" s="439">
        <v>86.78</v>
      </c>
      <c r="G34" s="439">
        <v>69.92</v>
      </c>
      <c r="H34" s="439">
        <v>101.17</v>
      </c>
      <c r="I34" s="439">
        <v>44.89</v>
      </c>
      <c r="J34" s="439">
        <v>1</v>
      </c>
      <c r="K34" s="440">
        <v>3.75</v>
      </c>
      <c r="M34" s="438">
        <f>'Base de Datos'!CE68</f>
        <v>83.94</v>
      </c>
      <c r="N34" s="439">
        <f>'Base de Datos'!CF68</f>
        <v>61.44</v>
      </c>
      <c r="O34" s="439">
        <f>'Base de Datos'!CG68</f>
        <v>95.73</v>
      </c>
      <c r="P34" s="439">
        <f>'Base de Datos'!CH68</f>
        <v>61.19</v>
      </c>
      <c r="Q34" s="439">
        <f>'Base de Datos'!CI68</f>
        <v>7.91</v>
      </c>
      <c r="R34" s="439">
        <f>'Base de Datos'!CJ68</f>
        <v>2.27</v>
      </c>
      <c r="S34" s="440">
        <f>'Base de Datos'!CK68</f>
        <v>0</v>
      </c>
      <c r="U34" s="554">
        <f>'Base de Datos'!CN68</f>
        <v>7.7</v>
      </c>
      <c r="V34" s="551">
        <f>'Base de Datos'!CO68</f>
        <v>88.78</v>
      </c>
      <c r="W34" s="551">
        <f>'Base de Datos'!CP68</f>
        <v>68.44</v>
      </c>
      <c r="X34" s="551">
        <f>'Base de Datos'!CQ68</f>
        <v>75.31</v>
      </c>
      <c r="Y34" s="551">
        <f>'Base de Datos'!CR68</f>
        <v>44.63</v>
      </c>
      <c r="Z34" s="551">
        <f>'Base de Datos'!CS68</f>
        <v>1.22</v>
      </c>
      <c r="AA34" s="552">
        <f>'Base de Datos'!CT68</f>
        <v>4.41</v>
      </c>
      <c r="AC34" s="554">
        <f>'Base de Datos'!CW68</f>
        <v>105.97</v>
      </c>
      <c r="AD34" s="551">
        <f>'Base de Datos'!CX68</f>
        <v>90.38</v>
      </c>
      <c r="AE34" s="551">
        <f>'Base de Datos'!CY68</f>
        <v>83.64</v>
      </c>
      <c r="AF34" s="551">
        <f>'Base de Datos'!CZ68</f>
        <v>90.92</v>
      </c>
      <c r="AG34" s="551">
        <f>'Base de Datos'!DA68</f>
        <v>51.61</v>
      </c>
      <c r="AH34" s="551">
        <f>'Base de Datos'!DB68</f>
        <v>8.73</v>
      </c>
      <c r="AI34" s="551">
        <f>'Base de Datos'!DC68</f>
        <v>4.03</v>
      </c>
      <c r="AK34" s="554">
        <f>'Base de Datos'!DF68</f>
        <v>93.28</v>
      </c>
      <c r="AL34" s="551">
        <f>'Base de Datos'!DG68</f>
        <v>68.39</v>
      </c>
      <c r="AM34" s="551">
        <f>'Base de Datos'!DH68</f>
        <v>75.2</v>
      </c>
      <c r="AN34" s="551">
        <f>'Base de Datos'!DI68</f>
        <v>31.38</v>
      </c>
      <c r="AO34" s="551">
        <f>'Base de Datos'!DJ68</f>
        <v>0</v>
      </c>
      <c r="AP34" s="551">
        <f>'Base de Datos'!DK68</f>
        <v>0</v>
      </c>
      <c r="AQ34" s="551">
        <f>'Base de Datos'!DL68</f>
        <v>0</v>
      </c>
      <c r="AS34" s="554"/>
      <c r="AT34" s="551"/>
      <c r="AU34" s="551"/>
      <c r="AV34" s="551"/>
      <c r="AW34" s="551">
        <f>'Base de Datos'!DS68</f>
        <v>8.5500000000000007</v>
      </c>
      <c r="AX34" s="551">
        <f>'Base de Datos'!DT68</f>
        <v>1.52</v>
      </c>
      <c r="AY34" s="551">
        <f>'Base de Datos'!DU68</f>
        <v>0.95</v>
      </c>
      <c r="BA34" s="554">
        <f>'Base de Datos'!DX68</f>
        <v>0.28000000000000003</v>
      </c>
      <c r="BB34" s="551">
        <f>'Base de Datos'!DY68</f>
        <v>5.7</v>
      </c>
      <c r="BC34" s="551">
        <f>'Base de Datos'!DZ68</f>
        <v>82.72</v>
      </c>
      <c r="BD34" s="551">
        <f>'Base de Datos'!EA68</f>
        <v>97.8</v>
      </c>
      <c r="BE34" s="551"/>
      <c r="BF34" s="551"/>
      <c r="BG34" s="551"/>
    </row>
    <row r="35" spans="1:59" ht="30" customHeight="1" thickBot="1" x14ac:dyDescent="0.35">
      <c r="A35">
        <v>69</v>
      </c>
      <c r="B35" s="376" t="s">
        <v>261</v>
      </c>
      <c r="C35" s="508">
        <v>90</v>
      </c>
      <c r="D35"/>
      <c r="E35" s="441">
        <v>103.7</v>
      </c>
      <c r="F35" s="442">
        <v>101.79764922793271</v>
      </c>
      <c r="G35" s="442">
        <v>89.259153318077807</v>
      </c>
      <c r="H35" s="442">
        <v>86.507858060689927</v>
      </c>
      <c r="I35" s="442">
        <v>97.839162396970366</v>
      </c>
      <c r="J35" s="442">
        <v>208</v>
      </c>
      <c r="K35" s="443">
        <v>99.066666666666663</v>
      </c>
      <c r="M35" s="441">
        <f>'Base de Datos'!CE69</f>
        <v>101.33428639504409</v>
      </c>
      <c r="N35" s="442">
        <f>'Base de Datos'!CF69</f>
        <v>102.83203125</v>
      </c>
      <c r="O35" s="442">
        <f>'Base de Datos'!CG69</f>
        <v>98.777812597931685</v>
      </c>
      <c r="P35" s="442">
        <f>'Base de Datos'!CH69</f>
        <v>104.24906030397123</v>
      </c>
      <c r="Q35" s="442">
        <f>'Base de Datos'!CI69</f>
        <v>0</v>
      </c>
      <c r="R35" s="442">
        <f>'Base de Datos'!CJ69</f>
        <v>0</v>
      </c>
      <c r="S35" s="443">
        <f>'Base de Datos'!CK69</f>
        <v>0</v>
      </c>
      <c r="U35" s="438">
        <f>'Base de Datos'!CN69</f>
        <v>136.23376623376623</v>
      </c>
      <c r="V35" s="439">
        <f>'Base de Datos'!CO69</f>
        <v>100.01126379815274</v>
      </c>
      <c r="W35" s="439">
        <f>'Base de Datos'!CP69</f>
        <v>147.22384570426652</v>
      </c>
      <c r="X35" s="439">
        <f>'Base de Datos'!CQ69</f>
        <v>105.53711326517063</v>
      </c>
      <c r="Y35" s="439">
        <f>'Base de Datos'!CR69</f>
        <v>101.32198073045036</v>
      </c>
      <c r="Z35" s="439">
        <f>'Base de Datos'!CS69</f>
        <v>131.14754098360655</v>
      </c>
      <c r="AA35" s="440">
        <f>'Base de Datos'!CT69</f>
        <v>81.859410430839006</v>
      </c>
      <c r="AC35" s="444">
        <f>'Base de Datos'!CW69</f>
        <v>94.356893460413332</v>
      </c>
      <c r="AD35" s="445">
        <f>'Base de Datos'!CX69</f>
        <v>101.47156450542155</v>
      </c>
      <c r="AE35" s="445">
        <f>'Base de Datos'!CY69</f>
        <v>101.50645624103299</v>
      </c>
      <c r="AF35" s="445">
        <f>'Base de Datos'!CZ69</f>
        <v>93.609766827980636</v>
      </c>
      <c r="AG35" s="445">
        <f>'Base de Datos'!DA69</f>
        <v>95.931021119937995</v>
      </c>
      <c r="AH35" s="445">
        <f>'Base de Datos'!DB69</f>
        <v>113.57388316151203</v>
      </c>
      <c r="AI35" s="445">
        <f>'Base de Datos'!DC69</f>
        <v>111.41439205955334</v>
      </c>
      <c r="AK35" s="444">
        <f>'Base de Datos'!DF69</f>
        <v>98.295454545454547</v>
      </c>
      <c r="AL35" s="445">
        <f>'Base de Datos'!DG69</f>
        <v>108.12984354437783</v>
      </c>
      <c r="AM35" s="445">
        <f>'Base de Datos'!DH69</f>
        <v>98.997340425531917</v>
      </c>
      <c r="AN35" s="445">
        <f>'Base de Datos'!DI69</f>
        <v>92.734225621414922</v>
      </c>
      <c r="AO35" s="445" t="e">
        <f>'Base de Datos'!DJ69</f>
        <v>#DIV/0!</v>
      </c>
      <c r="AP35" s="445" t="e">
        <f>'Base de Datos'!DK69</f>
        <v>#DIV/0!</v>
      </c>
      <c r="AQ35" s="445" t="e">
        <f>'Base de Datos'!DL69</f>
        <v>#DIV/0!</v>
      </c>
      <c r="AS35" s="444"/>
      <c r="AT35" s="445"/>
      <c r="AU35" s="445"/>
      <c r="AV35" s="445"/>
      <c r="AW35" s="445">
        <f>'Base de Datos'!DS69</f>
        <v>116.23391812865495</v>
      </c>
      <c r="AX35" s="445">
        <f>'Base de Datos'!DT69</f>
        <v>174.93421052631578</v>
      </c>
      <c r="AY35" s="445">
        <f>'Base de Datos'!DU69</f>
        <v>156.84210526315789</v>
      </c>
      <c r="BA35" s="444">
        <f>'Base de Datos'!DX69</f>
        <v>617.85714285714278</v>
      </c>
      <c r="BB35" s="445">
        <f>'Base de Datos'!DY69</f>
        <v>166.26315789473685</v>
      </c>
      <c r="BC35" s="445">
        <f>'Base de Datos'!DZ69</f>
        <v>83.957930367504844</v>
      </c>
      <c r="BD35" s="445">
        <f>'Base de Datos'!EA69</f>
        <v>96.308793456032717</v>
      </c>
      <c r="BE35" s="445"/>
      <c r="BF35" s="445"/>
      <c r="BG35" s="445"/>
    </row>
    <row r="36" spans="1:59" ht="31.5" customHeight="1" thickBot="1" x14ac:dyDescent="0.35">
      <c r="A36">
        <v>73</v>
      </c>
      <c r="B36" s="724" t="s">
        <v>250</v>
      </c>
      <c r="C36" s="725"/>
      <c r="D36"/>
      <c r="E36" s="689"/>
      <c r="F36" s="690"/>
      <c r="G36" s="690"/>
      <c r="H36" s="690"/>
      <c r="I36" s="690"/>
      <c r="J36" s="690"/>
      <c r="K36" s="691"/>
      <c r="M36" s="689"/>
      <c r="N36" s="690"/>
      <c r="O36" s="690"/>
      <c r="P36" s="690"/>
      <c r="Q36" s="690"/>
      <c r="R36" s="690"/>
      <c r="S36" s="691"/>
      <c r="U36" s="689"/>
      <c r="V36" s="690"/>
      <c r="W36" s="690"/>
      <c r="X36" s="690"/>
      <c r="Y36" s="690"/>
      <c r="Z36" s="690"/>
      <c r="AA36" s="691"/>
      <c r="AC36" s="689"/>
      <c r="AD36" s="690"/>
      <c r="AE36" s="690"/>
      <c r="AF36" s="690"/>
      <c r="AG36" s="690"/>
      <c r="AH36" s="690"/>
      <c r="AI36" s="691"/>
      <c r="AK36" s="659"/>
      <c r="AL36" s="660"/>
      <c r="AM36" s="660"/>
      <c r="AN36" s="660"/>
      <c r="AO36" s="660"/>
      <c r="AP36" s="660"/>
      <c r="AQ36" s="661"/>
      <c r="AS36" s="659"/>
      <c r="AT36" s="660"/>
      <c r="AU36" s="660"/>
      <c r="AV36" s="660"/>
      <c r="AW36" s="660"/>
      <c r="AX36" s="660"/>
      <c r="AY36" s="661"/>
      <c r="BA36" s="659"/>
      <c r="BB36" s="660"/>
      <c r="BC36" s="660"/>
      <c r="BD36" s="660"/>
      <c r="BE36" s="660"/>
      <c r="BF36" s="660"/>
      <c r="BG36" s="661"/>
    </row>
    <row r="37" spans="1:59" ht="30" customHeight="1" x14ac:dyDescent="0.3">
      <c r="A37">
        <v>74</v>
      </c>
      <c r="B37" s="377" t="s">
        <v>248</v>
      </c>
      <c r="C37" s="378">
        <v>0.9</v>
      </c>
      <c r="D37"/>
      <c r="E37" s="432">
        <v>0.8848387096774194</v>
      </c>
      <c r="F37" s="433">
        <v>0.7</v>
      </c>
      <c r="G37" s="433">
        <v>1.1489247311827955</v>
      </c>
      <c r="H37" s="433">
        <v>0.6</v>
      </c>
      <c r="I37" s="433">
        <v>2.7692307692307692</v>
      </c>
      <c r="J37" s="433" t="s">
        <v>232</v>
      </c>
      <c r="K37" s="459" t="s">
        <v>232</v>
      </c>
      <c r="M37" s="465">
        <f>'Base de Datos'!CE124</f>
        <v>1.4860655737704918</v>
      </c>
      <c r="N37" s="466">
        <f>'Base de Datos'!CF124</f>
        <v>0.58849765258215969</v>
      </c>
      <c r="O37" s="466">
        <f>'Base de Datos'!CG124</f>
        <v>1.0712820512820513</v>
      </c>
      <c r="P37" s="433">
        <f>'Base de Datos'!CH124</f>
        <v>0.80546075085324242</v>
      </c>
      <c r="Q37" s="433">
        <f>'Base de Datos'!CI124</f>
        <v>8.478260869565217E-2</v>
      </c>
      <c r="R37" s="433">
        <f>'Base de Datos'!CJ124</f>
        <v>3.8709677419354833E-2</v>
      </c>
      <c r="S37" s="459">
        <f>'Base de Datos'!CK124</f>
        <v>0</v>
      </c>
      <c r="U37" s="534" t="s">
        <v>334</v>
      </c>
      <c r="V37" s="531">
        <f>'Base de Datos'!CO52</f>
        <v>0.8615769984752778</v>
      </c>
      <c r="W37" s="531">
        <f>'Base de Datos'!CP52</f>
        <v>0.51061946902654864</v>
      </c>
      <c r="X37" s="531">
        <f>'Base de Datos'!CQ52</f>
        <v>0.6241164241164241</v>
      </c>
      <c r="Y37" s="531">
        <f>'Base de Datos'!CR52</f>
        <v>1.4921568627450978</v>
      </c>
      <c r="Z37" s="531" t="s">
        <v>334</v>
      </c>
      <c r="AA37" s="531" t="s">
        <v>334</v>
      </c>
      <c r="AC37" s="598">
        <f>'Base de Datos'!CW52</f>
        <v>0.70896601590744746</v>
      </c>
      <c r="AD37" s="599">
        <f>'Base de Datos'!CX52</f>
        <v>0.73173828125000007</v>
      </c>
      <c r="AE37" s="599">
        <f>'Base de Datos'!CY52</f>
        <v>0.72103688933200394</v>
      </c>
      <c r="AF37" s="599" t="e">
        <f>'Base de Datos'!CZ52</f>
        <v>#DIV/0!</v>
      </c>
      <c r="AG37" s="599" t="e">
        <f>'Base de Datos'!DA52</f>
        <v>#DIV/0!</v>
      </c>
      <c r="AH37" s="599" t="e">
        <f>'Base de Datos'!DB52</f>
        <v>#DIV/0!</v>
      </c>
      <c r="AI37" s="599" t="e">
        <f>'Base de Datos'!DC52</f>
        <v>#DIV/0!</v>
      </c>
      <c r="AK37" s="598">
        <f>'Base de Datos'!DF52</f>
        <v>0.75428296438883546</v>
      </c>
      <c r="AL37" s="599">
        <f>'Base de Datos'!DG52</f>
        <v>1.080909090909091</v>
      </c>
      <c r="AM37" s="599">
        <f>'Base de Datos'!DH52</f>
        <v>0.81015514809590961</v>
      </c>
      <c r="AN37" s="599" t="e">
        <f>'Base de Datos'!DI52</f>
        <v>#DIV/0!</v>
      </c>
      <c r="AO37" s="599" t="e">
        <f>'Base de Datos'!DJ52</f>
        <v>#DIV/0!</v>
      </c>
      <c r="AP37" s="599" t="e">
        <f>'Base de Datos'!DK52</f>
        <v>#DIV/0!</v>
      </c>
      <c r="AQ37" s="599" t="e">
        <f>'Base de Datos'!DL52</f>
        <v>#DIV/0!</v>
      </c>
      <c r="AS37" s="598"/>
      <c r="AT37" s="599"/>
      <c r="AU37" s="599"/>
      <c r="AV37" s="599"/>
      <c r="AW37" s="599" t="e">
        <f>'Base de Datos'!DS52</f>
        <v>#DIV/0!</v>
      </c>
      <c r="AX37" s="599" t="e">
        <f>'Base de Datos'!DT52</f>
        <v>#DIV/0!</v>
      </c>
      <c r="AY37" s="599" t="e">
        <f>'Base de Datos'!DU52</f>
        <v>#DIV/0!</v>
      </c>
      <c r="BA37" s="598"/>
      <c r="BB37" s="599"/>
      <c r="BC37" s="599">
        <f>'Base de Datos'!DZ52</f>
        <v>1.0189448441247002</v>
      </c>
      <c r="BD37" s="599">
        <f>'Base de Datos'!EA52</f>
        <v>1.2195443645083932</v>
      </c>
      <c r="BE37" s="599"/>
      <c r="BF37" s="599"/>
      <c r="BG37" s="599"/>
    </row>
    <row r="38" spans="1:59" ht="30" customHeight="1" x14ac:dyDescent="0.3">
      <c r="A38">
        <v>75</v>
      </c>
      <c r="B38" s="379" t="s">
        <v>326</v>
      </c>
      <c r="C38" s="380">
        <v>66</v>
      </c>
      <c r="D38"/>
      <c r="E38" s="429">
        <v>120.59060773480665</v>
      </c>
      <c r="F38" s="430">
        <v>48.452293577981656</v>
      </c>
      <c r="G38" s="430">
        <v>34.503486924034874</v>
      </c>
      <c r="H38" s="430">
        <v>53.4</v>
      </c>
      <c r="I38" s="430">
        <v>50.856818181818177</v>
      </c>
      <c r="J38" s="430">
        <v>35.569620253164558</v>
      </c>
      <c r="K38" s="431">
        <v>36.981818181818177</v>
      </c>
      <c r="M38" s="429">
        <f>'Base de Datos'!CE125</f>
        <v>78.641393442622956</v>
      </c>
      <c r="N38" s="430">
        <f>'Base de Datos'!CF125</f>
        <v>38.404225352112682</v>
      </c>
      <c r="O38" s="430">
        <f>'Base de Datos'!CG125</f>
        <v>67.072564102564101</v>
      </c>
      <c r="P38" s="430">
        <f>'Base de Datos'!CH125</f>
        <v>59.104266211604106</v>
      </c>
      <c r="Q38" s="430">
        <f>'Base de Datos'!CI125</f>
        <v>18.442028985507246</v>
      </c>
      <c r="R38" s="430">
        <f>'Base de Datos'!CJ125</f>
        <v>21.021505376344084</v>
      </c>
      <c r="S38" s="431">
        <f>'Base de Datos'!CK125</f>
        <v>21.456953642384107</v>
      </c>
      <c r="U38" s="429" t="s">
        <v>334</v>
      </c>
      <c r="V38" s="430">
        <f>'Base de Datos'!CO54</f>
        <v>51.26802439555653</v>
      </c>
      <c r="W38" s="430">
        <f>'Base de Datos'!CP54</f>
        <v>59.717964601769914</v>
      </c>
      <c r="X38" s="430">
        <f>'Base de Datos'!CQ54</f>
        <v>39.344490644490641</v>
      </c>
      <c r="Y38" s="430">
        <f>'Base de Datos'!CR54</f>
        <v>94.703137254901961</v>
      </c>
      <c r="Z38" s="430" t="s">
        <v>334</v>
      </c>
      <c r="AA38" s="430" t="s">
        <v>334</v>
      </c>
      <c r="AC38" s="429">
        <f>'Base de Datos'!CW54</f>
        <v>40.573391178597248</v>
      </c>
      <c r="AD38" s="430">
        <f>'Base de Datos'!CX54</f>
        <v>43.89697265625</v>
      </c>
      <c r="AE38" s="430">
        <f>'Base de Datos'!CY54</f>
        <v>44.358125623130611</v>
      </c>
      <c r="AF38" s="430" t="e">
        <f>'Base de Datos'!CZ54</f>
        <v>#DIV/0!</v>
      </c>
      <c r="AG38" s="430" t="e">
        <f>'Base de Datos'!DA54</f>
        <v>#DIV/0!</v>
      </c>
      <c r="AH38" s="430" t="e">
        <f>'Base de Datos'!DB54</f>
        <v>#DIV/0!</v>
      </c>
      <c r="AI38" s="430" t="e">
        <f>'Base de Datos'!DC54</f>
        <v>#DIV/0!</v>
      </c>
      <c r="AK38" s="429">
        <f>'Base de Datos'!DF54</f>
        <v>44.541674687199226</v>
      </c>
      <c r="AL38" s="430">
        <f>'Base de Datos'!DG54</f>
        <v>67.99636363636364</v>
      </c>
      <c r="AM38" s="430">
        <f>'Base de Datos'!DH54</f>
        <v>53.809873060648798</v>
      </c>
      <c r="AN38" s="430" t="e">
        <f>'Base de Datos'!DI54</f>
        <v>#DIV/0!</v>
      </c>
      <c r="AO38" s="430" t="e">
        <f>'Base de Datos'!DJ54</f>
        <v>#DIV/0!</v>
      </c>
      <c r="AP38" s="430" t="e">
        <f>'Base de Datos'!DK54</f>
        <v>#DIV/0!</v>
      </c>
      <c r="AQ38" s="430" t="e">
        <f>'Base de Datos'!DL54</f>
        <v>#DIV/0!</v>
      </c>
      <c r="AS38" s="429"/>
      <c r="AT38" s="430"/>
      <c r="AU38" s="430"/>
      <c r="AV38" s="430"/>
      <c r="AW38" s="430" t="e">
        <f>'Base de Datos'!DS54</f>
        <v>#DIV/0!</v>
      </c>
      <c r="AX38" s="430" t="e">
        <f>'Base de Datos'!DT54</f>
        <v>#DIV/0!</v>
      </c>
      <c r="AY38" s="430" t="e">
        <f>'Base de Datos'!DU54</f>
        <v>#DIV/0!</v>
      </c>
      <c r="BA38" s="429"/>
      <c r="BB38" s="430"/>
      <c r="BC38" s="430">
        <f>'Base de Datos'!DZ54</f>
        <v>60.491366906474809</v>
      </c>
      <c r="BD38" s="430">
        <f>'Base de Datos'!EA54</f>
        <v>81.223860911270975</v>
      </c>
      <c r="BE38" s="430"/>
      <c r="BF38" s="430"/>
      <c r="BG38" s="430"/>
    </row>
    <row r="39" spans="1:59" ht="30" customHeight="1" x14ac:dyDescent="0.3">
      <c r="A39">
        <v>76</v>
      </c>
      <c r="B39" s="379" t="s">
        <v>247</v>
      </c>
      <c r="C39" s="380">
        <v>3.4</v>
      </c>
      <c r="D39"/>
      <c r="E39" s="429">
        <v>2.8668774193548385</v>
      </c>
      <c r="F39" s="430">
        <v>2.5500613500852274</v>
      </c>
      <c r="G39" s="430">
        <v>3.6918737543367524</v>
      </c>
      <c r="H39" s="430">
        <v>1.9</v>
      </c>
      <c r="I39" s="430">
        <v>9.8000000000000007</v>
      </c>
      <c r="J39" s="430" t="s">
        <v>232</v>
      </c>
      <c r="K39" s="431" t="s">
        <v>232</v>
      </c>
      <c r="M39" s="429">
        <f>'Base de Datos'!CE126</f>
        <v>5.4212182003538825</v>
      </c>
      <c r="N39" s="430">
        <f>'Base de Datos'!CF126</f>
        <v>2.1785907240316904</v>
      </c>
      <c r="O39" s="430">
        <f>'Base de Datos'!CG126</f>
        <v>3.8094803172383864</v>
      </c>
      <c r="P39" s="430">
        <f>'Base de Datos'!CH126</f>
        <v>3.0228669499745382</v>
      </c>
      <c r="Q39" s="430">
        <f>'Base de Datos'!CI126</f>
        <v>0</v>
      </c>
      <c r="R39" s="430">
        <f>'Base de Datos'!CJ126</f>
        <v>0</v>
      </c>
      <c r="S39" s="431">
        <f>'Base de Datos'!CK126</f>
        <v>0</v>
      </c>
      <c r="U39" s="429" t="s">
        <v>334</v>
      </c>
      <c r="V39" s="430">
        <f>'Base de Datos'!CO126</f>
        <v>3.1020265611695392</v>
      </c>
      <c r="W39" s="430">
        <f>'Base de Datos'!CP126</f>
        <v>2.7063130291761275</v>
      </c>
      <c r="X39" s="430">
        <f>'Base de Datos'!CQ126</f>
        <v>2.3712280467346192</v>
      </c>
      <c r="Y39" s="430">
        <f>'Base de Datos'!CR126</f>
        <v>3.4959911638430952</v>
      </c>
      <c r="Z39" s="430">
        <f>'Base de Datos'!CS126</f>
        <v>4.7450366587033527E-2</v>
      </c>
      <c r="AA39" s="430">
        <f>'Base de Datos'!CT126</f>
        <v>0.39857876963735128</v>
      </c>
      <c r="AC39" s="429">
        <f>'Base de Datos'!CW126</f>
        <v>2.408249909881178</v>
      </c>
      <c r="AD39" s="430">
        <f>'Base de Datos'!CX126</f>
        <v>2.6730226154500438</v>
      </c>
      <c r="AE39" s="430">
        <f>'Base de Datos'!CY126</f>
        <v>2.6348363803853854</v>
      </c>
      <c r="AF39" s="430" t="e">
        <f>'Base de Datos'!CZ126</f>
        <v>#DIV/0!</v>
      </c>
      <c r="AG39" s="430" t="e">
        <f>'Base de Datos'!DA126</f>
        <v>#DIV/0!</v>
      </c>
      <c r="AH39" s="430" t="e">
        <f>'Base de Datos'!DB126</f>
        <v>#DIV/0!</v>
      </c>
      <c r="AI39" s="430" t="e">
        <f>'Base de Datos'!DC126</f>
        <v>#DIV/0!</v>
      </c>
      <c r="AK39" s="429">
        <f>'Base de Datos'!DF126</f>
        <v>2.6691331262577651</v>
      </c>
      <c r="AL39" s="430">
        <f>'Base de Datos'!DG126</f>
        <v>4.2076271118850448</v>
      </c>
      <c r="AM39" s="430">
        <f>'Base de Datos'!DH126</f>
        <v>2.8873153797677276</v>
      </c>
      <c r="AN39" s="430" t="e">
        <f>'Base de Datos'!DI126</f>
        <v>#DIV/0!</v>
      </c>
      <c r="AO39" s="430" t="e">
        <f>'Base de Datos'!DJ126</f>
        <v>#DIV/0!</v>
      </c>
      <c r="AP39" s="430" t="e">
        <f>'Base de Datos'!DK126</f>
        <v>#DIV/0!</v>
      </c>
      <c r="AQ39" s="430" t="e">
        <f>'Base de Datos'!DL126</f>
        <v>#DIV/0!</v>
      </c>
      <c r="AS39" s="429"/>
      <c r="AT39" s="430"/>
      <c r="AU39" s="430"/>
      <c r="AV39" s="430"/>
      <c r="AW39" s="430" t="e">
        <f>'Base de Datos'!DS126</f>
        <v>#DIV/0!</v>
      </c>
      <c r="AX39" s="430" t="e">
        <f>'Base de Datos'!DT126</f>
        <v>#DIV/0!</v>
      </c>
      <c r="AY39" s="430" t="e">
        <f>'Base de Datos'!DU126</f>
        <v>#DIV/0!</v>
      </c>
      <c r="BA39" s="429"/>
      <c r="BB39" s="430"/>
      <c r="BC39" s="430">
        <f>'Base de Datos'!DZ126</f>
        <v>3.0797460097685874</v>
      </c>
      <c r="BD39" s="430">
        <f>'Base de Datos'!EA126</f>
        <v>4.2283024672286702</v>
      </c>
      <c r="BE39" s="430"/>
      <c r="BF39" s="430"/>
      <c r="BG39" s="430"/>
    </row>
    <row r="40" spans="1:59" ht="30" customHeight="1" x14ac:dyDescent="0.3">
      <c r="A40">
        <v>77</v>
      </c>
      <c r="B40" s="379" t="s">
        <v>246</v>
      </c>
      <c r="C40" s="380">
        <v>0.8</v>
      </c>
      <c r="D40"/>
      <c r="E40" s="429"/>
      <c r="F40" s="430"/>
      <c r="G40" s="430"/>
      <c r="H40" s="430"/>
      <c r="I40" s="430"/>
      <c r="J40" s="430"/>
      <c r="K40" s="431"/>
      <c r="M40" s="504">
        <f>'Base de Datos'!CE127</f>
        <v>0.53333333333333333</v>
      </c>
      <c r="N40" s="434">
        <f>'Base de Datos'!CF127</f>
        <v>0.60625000000000007</v>
      </c>
      <c r="O40" s="434">
        <f>'Base de Datos'!CG127</f>
        <v>0.50864312267657996</v>
      </c>
      <c r="P40" s="434">
        <f>'Base de Datos'!CH127</f>
        <v>0.56785714285714284</v>
      </c>
      <c r="Q40" s="434">
        <f>'Base de Datos'!CI127</f>
        <v>0</v>
      </c>
      <c r="R40" s="434">
        <f>'Base de Datos'!CJ127</f>
        <v>0</v>
      </c>
      <c r="S40" s="505">
        <f>'Base de Datos'!CK127</f>
        <v>0</v>
      </c>
      <c r="U40" s="504" t="s">
        <v>334</v>
      </c>
      <c r="V40" s="434">
        <f>'Base de Datos'!CO127</f>
        <v>0.57253321716401662</v>
      </c>
      <c r="W40" s="434">
        <f>'Base de Datos'!CP127</f>
        <v>0.34070796460176989</v>
      </c>
      <c r="X40" s="434">
        <f>'Base de Datos'!CQ127</f>
        <v>0.52796257796257795</v>
      </c>
      <c r="Y40" s="434" t="s">
        <v>334</v>
      </c>
      <c r="Z40" s="434" t="s">
        <v>334</v>
      </c>
      <c r="AA40" s="434" t="s">
        <v>334</v>
      </c>
      <c r="AC40" s="504">
        <f>'Base de Datos'!CW127</f>
        <v>0.45336225596529284</v>
      </c>
      <c r="AD40" s="434">
        <f>'Base de Datos'!CX127</f>
        <v>0.54912109374999996</v>
      </c>
      <c r="AE40" s="434">
        <f>'Base de Datos'!CY127</f>
        <v>0.57686939182452646</v>
      </c>
      <c r="AF40" s="434" t="e">
        <f>'Base de Datos'!CZ127</f>
        <v>#DIV/0!</v>
      </c>
      <c r="AG40" s="434" t="e">
        <f>'Base de Datos'!DA127</f>
        <v>#DIV/0!</v>
      </c>
      <c r="AH40" s="434" t="e">
        <f>'Base de Datos'!DB127</f>
        <v>#DIV/0!</v>
      </c>
      <c r="AI40" s="434" t="e">
        <f>'Base de Datos'!DC127</f>
        <v>#DIV/0!</v>
      </c>
      <c r="AK40" s="504">
        <f>'Base de Datos'!DF127</f>
        <v>0.63195380173243498</v>
      </c>
      <c r="AL40" s="434">
        <f>'Base de Datos'!DG127</f>
        <v>1.0439393939393939</v>
      </c>
      <c r="AM40" s="434">
        <f>'Base de Datos'!DH127</f>
        <v>0.55289139633286322</v>
      </c>
      <c r="AN40" s="434" t="e">
        <f>'Base de Datos'!DI127</f>
        <v>#DIV/0!</v>
      </c>
      <c r="AO40" s="434" t="e">
        <f>'Base de Datos'!DJ127</f>
        <v>#DIV/0!</v>
      </c>
      <c r="AP40" s="434" t="e">
        <f>'Base de Datos'!DK127</f>
        <v>#DIV/0!</v>
      </c>
      <c r="AQ40" s="434" t="e">
        <f>'Base de Datos'!DL127</f>
        <v>#DIV/0!</v>
      </c>
      <c r="AS40" s="504"/>
      <c r="AT40" s="434"/>
      <c r="AU40" s="434"/>
      <c r="AV40" s="434"/>
      <c r="AW40" s="434" t="e">
        <f>'Base de Datos'!DS127</f>
        <v>#DIV/0!</v>
      </c>
      <c r="AX40" s="434" t="e">
        <f>'Base de Datos'!DT127</f>
        <v>#DIV/0!</v>
      </c>
      <c r="AY40" s="434" t="e">
        <f>'Base de Datos'!DU127</f>
        <v>#DIV/0!</v>
      </c>
      <c r="BA40" s="504"/>
      <c r="BB40" s="434"/>
      <c r="BC40" s="434">
        <f>'Base de Datos'!DZ127</f>
        <v>0.71067146282973614</v>
      </c>
      <c r="BD40" s="434">
        <f>'Base de Datos'!EA127</f>
        <v>0.89580335731414851</v>
      </c>
      <c r="BE40" s="434"/>
      <c r="BF40" s="434"/>
      <c r="BG40" s="434"/>
    </row>
    <row r="41" spans="1:59" ht="30" customHeight="1" thickBot="1" x14ac:dyDescent="0.35">
      <c r="A41">
        <v>78</v>
      </c>
      <c r="B41" s="381" t="s">
        <v>327</v>
      </c>
      <c r="C41" s="382">
        <v>350</v>
      </c>
      <c r="D41"/>
      <c r="E41" s="435">
        <v>632.57071823204433</v>
      </c>
      <c r="F41" s="436">
        <v>267.74805045871562</v>
      </c>
      <c r="G41" s="436">
        <v>228.96438356164384</v>
      </c>
      <c r="H41" s="436">
        <v>336</v>
      </c>
      <c r="I41" s="436">
        <v>542.05189393939395</v>
      </c>
      <c r="J41" s="436">
        <v>1259.553164556962</v>
      </c>
      <c r="K41" s="458">
        <v>1303.4948051948052</v>
      </c>
      <c r="M41" s="435">
        <f>'Base de Datos'!CE128</f>
        <v>0</v>
      </c>
      <c r="N41" s="436">
        <f>'Base de Datos'!CF128</f>
        <v>244.2104460093897</v>
      </c>
      <c r="O41" s="436">
        <f>'Base de Datos'!CG128</f>
        <v>320.16192307692307</v>
      </c>
      <c r="P41" s="436">
        <f>'Base de Datos'!CH128</f>
        <v>364.68054607508532</v>
      </c>
      <c r="Q41" s="436">
        <f>'Base de Datos'!CI128</f>
        <v>484.20289855072463</v>
      </c>
      <c r="R41" s="436">
        <f>'Base de Datos'!CJ128</f>
        <v>495.16129032258061</v>
      </c>
      <c r="S41" s="458">
        <f>'Base de Datos'!CK128</f>
        <v>486.62251655629143</v>
      </c>
      <c r="U41" s="429" t="s">
        <v>334</v>
      </c>
      <c r="V41" s="430">
        <f>'Base de Datos'!CO50</f>
        <v>250.74134175560883</v>
      </c>
      <c r="W41" s="430">
        <f>'Base de Datos'!CP50</f>
        <v>155.61486725663715</v>
      </c>
      <c r="X41" s="430">
        <f>'Base de Datos'!CQ50</f>
        <v>246.38076923076923</v>
      </c>
      <c r="Y41" s="430">
        <f>'Base de Datos'!CR50</f>
        <v>698.56156862745092</v>
      </c>
      <c r="Z41" s="430" t="s">
        <v>334</v>
      </c>
      <c r="AA41" s="430" t="s">
        <v>334</v>
      </c>
      <c r="AC41" s="417">
        <f>'Base de Datos'!CW50</f>
        <v>182.34844540853217</v>
      </c>
      <c r="AD41" s="418">
        <f>'Base de Datos'!CX50</f>
        <v>171.72343749999999</v>
      </c>
      <c r="AE41" s="418">
        <f>'Base de Datos'!CY50</f>
        <v>260.24356929212365</v>
      </c>
      <c r="AF41" s="418" t="e">
        <f>'Base de Datos'!CZ50</f>
        <v>#DIV/0!</v>
      </c>
      <c r="AG41" s="418" t="e">
        <f>'Base de Datos'!DA50</f>
        <v>#DIV/0!</v>
      </c>
      <c r="AH41" s="418" t="e">
        <f>'Base de Datos'!DB50</f>
        <v>#DIV/0!</v>
      </c>
      <c r="AI41" s="418" t="e">
        <f>'Base de Datos'!DC50</f>
        <v>#DIV/0!</v>
      </c>
      <c r="AK41" s="417">
        <f>'Base de Datos'!DF50</f>
        <v>222.14619826756498</v>
      </c>
      <c r="AL41" s="418">
        <f>'Base de Datos'!DG50</f>
        <v>614.58151515151508</v>
      </c>
      <c r="AM41" s="418">
        <f>'Base de Datos'!DH50</f>
        <v>298.70775740479547</v>
      </c>
      <c r="AN41" s="418" t="e">
        <f>'Base de Datos'!DI50</f>
        <v>#DIV/0!</v>
      </c>
      <c r="AO41" s="418" t="e">
        <f>'Base de Datos'!DJ50</f>
        <v>#DIV/0!</v>
      </c>
      <c r="AP41" s="418" t="e">
        <f>'Base de Datos'!DK50</f>
        <v>#DIV/0!</v>
      </c>
      <c r="AQ41" s="418" t="e">
        <f>'Base de Datos'!DL50</f>
        <v>#DIV/0!</v>
      </c>
      <c r="AS41" s="417"/>
      <c r="AT41" s="418"/>
      <c r="AU41" s="418"/>
      <c r="AV41" s="418"/>
      <c r="AW41" s="418" t="e">
        <f>'Base de Datos'!DS50</f>
        <v>#DIV/0!</v>
      </c>
      <c r="AX41" s="418" t="e">
        <f>'Base de Datos'!DT50</f>
        <v>#DIV/0!</v>
      </c>
      <c r="AY41" s="418" t="e">
        <f>'Base de Datos'!DU50</f>
        <v>#DIV/0!</v>
      </c>
      <c r="BA41" s="417"/>
      <c r="BB41" s="418"/>
      <c r="BC41" s="418">
        <f>'Base de Datos'!DZ50</f>
        <v>241.20983213429255</v>
      </c>
      <c r="BD41" s="418">
        <f>'Base de Datos'!EA50</f>
        <v>274.25239808153475</v>
      </c>
      <c r="BE41" s="418"/>
      <c r="BF41" s="418"/>
      <c r="BG41" s="418"/>
    </row>
    <row r="42" spans="1:59" ht="24.75" customHeight="1" thickBot="1" x14ac:dyDescent="0.35">
      <c r="A42">
        <v>79</v>
      </c>
      <c r="B42" s="726" t="s">
        <v>20</v>
      </c>
      <c r="C42" s="727"/>
      <c r="D42"/>
      <c r="E42" s="692"/>
      <c r="F42" s="693"/>
      <c r="G42" s="693"/>
      <c r="H42" s="693"/>
      <c r="I42" s="693"/>
      <c r="J42" s="693"/>
      <c r="K42" s="694"/>
      <c r="M42" s="692"/>
      <c r="N42" s="693"/>
      <c r="O42" s="693"/>
      <c r="P42" s="693"/>
      <c r="Q42" s="693"/>
      <c r="R42" s="693"/>
      <c r="S42" s="694"/>
      <c r="U42" s="692"/>
      <c r="V42" s="693"/>
      <c r="W42" s="693"/>
      <c r="X42" s="693"/>
      <c r="Y42" s="693"/>
      <c r="Z42" s="693"/>
      <c r="AA42" s="694"/>
      <c r="AC42" s="662"/>
      <c r="AD42" s="663"/>
      <c r="AE42" s="663"/>
      <c r="AF42" s="663"/>
      <c r="AG42" s="663"/>
      <c r="AH42" s="663"/>
      <c r="AI42" s="664"/>
      <c r="AK42" s="662"/>
      <c r="AL42" s="663"/>
      <c r="AM42" s="663"/>
      <c r="AN42" s="663"/>
      <c r="AO42" s="663"/>
      <c r="AP42" s="663"/>
      <c r="AQ42" s="664"/>
      <c r="AS42" s="662"/>
      <c r="AT42" s="663"/>
      <c r="AU42" s="663"/>
      <c r="AV42" s="663"/>
      <c r="AW42" s="663"/>
      <c r="AX42" s="663"/>
      <c r="AY42" s="664"/>
      <c r="BA42" s="662"/>
      <c r="BB42" s="663"/>
      <c r="BC42" s="663"/>
      <c r="BD42" s="663"/>
      <c r="BE42" s="663"/>
      <c r="BF42" s="663"/>
      <c r="BG42" s="664"/>
    </row>
    <row r="43" spans="1:59" ht="30" customHeight="1" x14ac:dyDescent="0.3">
      <c r="A43">
        <v>80</v>
      </c>
      <c r="B43" s="383" t="s">
        <v>271</v>
      </c>
      <c r="C43" s="384"/>
      <c r="D43"/>
      <c r="E43" s="432"/>
      <c r="F43" s="433"/>
      <c r="G43" s="433"/>
      <c r="H43" s="433"/>
      <c r="I43" s="433"/>
      <c r="J43" s="433"/>
      <c r="K43" s="459"/>
      <c r="M43" s="432">
        <f>'Base de Datos'!CE45</f>
        <v>1.53</v>
      </c>
      <c r="N43" s="433">
        <f>'Base de Datos'!CF45</f>
        <v>2.2200000000000002</v>
      </c>
      <c r="O43" s="433">
        <f>'Base de Datos'!CG45</f>
        <v>0.93</v>
      </c>
      <c r="P43" s="433">
        <f>'Base de Datos'!CH45</f>
        <v>2.88</v>
      </c>
      <c r="Q43" s="433">
        <f>'Base de Datos'!CI45</f>
        <v>3.79</v>
      </c>
      <c r="R43" s="433">
        <f>'Base de Datos'!CJ45</f>
        <v>0.16</v>
      </c>
      <c r="S43" s="459">
        <f>'Base de Datos'!CK45</f>
        <v>0.49</v>
      </c>
      <c r="U43" s="429">
        <f>'Base de Datos'!CN45</f>
        <v>0.22</v>
      </c>
      <c r="V43" s="430">
        <f>'Base de Datos'!CO45</f>
        <v>0.89</v>
      </c>
      <c r="W43" s="430">
        <f>'Base de Datos'!CP45</f>
        <v>0.42</v>
      </c>
      <c r="X43" s="430">
        <f>'Base de Datos'!CQ45</f>
        <v>1.27</v>
      </c>
      <c r="Y43" s="430">
        <f>'Base de Datos'!CR45</f>
        <v>3.22</v>
      </c>
      <c r="Z43" s="430">
        <f>'Base de Datos'!CS45</f>
        <v>0.35</v>
      </c>
      <c r="AA43" s="430">
        <f>'Base de Datos'!CT45</f>
        <v>0.08</v>
      </c>
      <c r="AC43" s="479">
        <f>'Base de Datos'!CW45</f>
        <v>0.64</v>
      </c>
      <c r="AD43" s="480">
        <f>'Base de Datos'!CX45</f>
        <v>0.63</v>
      </c>
      <c r="AE43" s="480">
        <f>'Base de Datos'!CY45</f>
        <v>1.0900000000000001</v>
      </c>
      <c r="AF43" s="480">
        <f>'Base de Datos'!CZ45</f>
        <v>8.4600000000000009</v>
      </c>
      <c r="AG43" s="480">
        <f>'Base de Datos'!DA45</f>
        <v>2.12</v>
      </c>
      <c r="AH43" s="480">
        <f>'Base de Datos'!DB45</f>
        <v>0.27</v>
      </c>
      <c r="AI43" s="480">
        <f>'Base de Datos'!DC45</f>
        <v>0.23</v>
      </c>
      <c r="AK43" s="479">
        <f>'Base de Datos'!DF45</f>
        <v>1.58</v>
      </c>
      <c r="AL43" s="480">
        <f>'Base de Datos'!DG45</f>
        <v>1.17</v>
      </c>
      <c r="AM43" s="480">
        <f>'Base de Datos'!DH45</f>
        <v>3</v>
      </c>
      <c r="AN43" s="480">
        <f>'Base de Datos'!DI45</f>
        <v>0.45</v>
      </c>
      <c r="AO43" s="480">
        <f>'Base de Datos'!DJ45</f>
        <v>0</v>
      </c>
      <c r="AP43" s="480">
        <f>'Base de Datos'!DK45</f>
        <v>0</v>
      </c>
      <c r="AQ43" s="480">
        <f>'Base de Datos'!DL45</f>
        <v>0</v>
      </c>
      <c r="AS43" s="479"/>
      <c r="AT43" s="480"/>
      <c r="AU43" s="480"/>
      <c r="AV43" s="480"/>
      <c r="AW43" s="480">
        <f>'Base de Datos'!DS45</f>
        <v>0.48</v>
      </c>
      <c r="AX43" s="480">
        <f>'Base de Datos'!DT45</f>
        <v>0.45</v>
      </c>
      <c r="AY43" s="480">
        <f>'Base de Datos'!DU45</f>
        <v>0.66</v>
      </c>
      <c r="BA43" s="479">
        <f>'Base de Datos'!DX45</f>
        <v>0.74</v>
      </c>
      <c r="BB43" s="480">
        <f>'Base de Datos'!DY45</f>
        <v>0.94</v>
      </c>
      <c r="BC43" s="480">
        <f>'Base de Datos'!DZ45</f>
        <v>1.43</v>
      </c>
      <c r="BD43" s="480">
        <f>'Base de Datos'!EA45</f>
        <v>0.44</v>
      </c>
      <c r="BE43" s="480">
        <f>'Base de Datos'!EB45</f>
        <v>0</v>
      </c>
      <c r="BF43" s="480">
        <f>'Base de Datos'!EC45</f>
        <v>0</v>
      </c>
      <c r="BG43" s="480">
        <f>'Base de Datos'!ED45</f>
        <v>0</v>
      </c>
    </row>
    <row r="44" spans="1:59" ht="30" customHeight="1" x14ac:dyDescent="0.3">
      <c r="A44">
        <v>81</v>
      </c>
      <c r="B44" s="385" t="s">
        <v>272</v>
      </c>
      <c r="C44" s="386"/>
      <c r="D44"/>
      <c r="E44" s="429"/>
      <c r="F44" s="430"/>
      <c r="G44" s="430"/>
      <c r="H44" s="430"/>
      <c r="I44" s="430"/>
      <c r="J44" s="430"/>
      <c r="K44" s="431"/>
      <c r="M44" s="429">
        <f>'Base de Datos'!CE46</f>
        <v>11.46</v>
      </c>
      <c r="N44" s="430">
        <f>'Base de Datos'!CF46</f>
        <v>9.59</v>
      </c>
      <c r="O44" s="430">
        <f>'Base de Datos'!CG46</f>
        <v>14.19</v>
      </c>
      <c r="P44" s="430">
        <f>'Base de Datos'!CH46</f>
        <v>13.65</v>
      </c>
      <c r="Q44" s="430">
        <f>'Base de Datos'!CI46</f>
        <v>0.35</v>
      </c>
      <c r="R44" s="430">
        <f>'Base de Datos'!CJ46</f>
        <v>0</v>
      </c>
      <c r="S44" s="431">
        <f>'Base de Datos'!CK46</f>
        <v>0</v>
      </c>
      <c r="U44" s="429">
        <f>'Base de Datos'!CN46</f>
        <v>1.22</v>
      </c>
      <c r="V44" s="430">
        <f>'Base de Datos'!CO46</f>
        <v>10.46</v>
      </c>
      <c r="W44" s="430">
        <f>'Base de Datos'!CP46</f>
        <v>12.29</v>
      </c>
      <c r="X44" s="430">
        <f>'Base de Datos'!CQ46</f>
        <v>14.1</v>
      </c>
      <c r="Y44" s="430">
        <f>'Base de Datos'!CR46</f>
        <v>3.46</v>
      </c>
      <c r="Z44" s="430">
        <f>'Base de Datos'!CS46</f>
        <v>0</v>
      </c>
      <c r="AA44" s="430">
        <f>'Base de Datos'!CT46</f>
        <v>0.35</v>
      </c>
      <c r="AC44" s="532">
        <f>'Base de Datos'!CW46</f>
        <v>10.88</v>
      </c>
      <c r="AD44" s="530">
        <f>'Base de Datos'!CX46</f>
        <v>13.95</v>
      </c>
      <c r="AE44" s="530">
        <f>'Base de Datos'!CY46</f>
        <v>12.24</v>
      </c>
      <c r="AF44" s="530">
        <f>'Base de Datos'!CZ46</f>
        <v>2.04</v>
      </c>
      <c r="AG44" s="530">
        <f>'Base de Datos'!DA46</f>
        <v>4.62</v>
      </c>
      <c r="AH44" s="530">
        <f>'Base de Datos'!DB46</f>
        <v>0.27</v>
      </c>
      <c r="AI44" s="530">
        <f>'Base de Datos'!DC46</f>
        <v>0.34</v>
      </c>
      <c r="AK44" s="532">
        <f>'Base de Datos'!DF46</f>
        <v>15.44</v>
      </c>
      <c r="AL44" s="530">
        <f>'Base de Datos'!DG46</f>
        <v>20.54</v>
      </c>
      <c r="AM44" s="530">
        <f>'Base de Datos'!DH46</f>
        <v>12.69</v>
      </c>
      <c r="AN44" s="530">
        <f>'Base de Datos'!DI46</f>
        <v>2</v>
      </c>
      <c r="AO44" s="530">
        <f>'Base de Datos'!DJ46</f>
        <v>0</v>
      </c>
      <c r="AP44" s="530">
        <f>'Base de Datos'!DK46</f>
        <v>0</v>
      </c>
      <c r="AQ44" s="530">
        <f>'Base de Datos'!DL46</f>
        <v>0</v>
      </c>
      <c r="AS44" s="532"/>
      <c r="AT44" s="530"/>
      <c r="AU44" s="530"/>
      <c r="AV44" s="530"/>
      <c r="AW44" s="530">
        <f>'Base de Datos'!DS46</f>
        <v>0</v>
      </c>
      <c r="AX44" s="530">
        <f>'Base de Datos'!DT46</f>
        <v>0</v>
      </c>
      <c r="AY44" s="530">
        <f>'Base de Datos'!DU46</f>
        <v>0</v>
      </c>
      <c r="BA44" s="532">
        <f>'Base de Datos'!DX46</f>
        <v>0</v>
      </c>
      <c r="BB44" s="530">
        <f>'Base de Datos'!DY46</f>
        <v>0</v>
      </c>
      <c r="BC44" s="530">
        <f>'Base de Datos'!DZ46</f>
        <v>0</v>
      </c>
      <c r="BD44" s="530">
        <f>'Base de Datos'!EA46</f>
        <v>0</v>
      </c>
      <c r="BE44" s="530">
        <f>'Base de Datos'!EB46</f>
        <v>0</v>
      </c>
      <c r="BF44" s="530">
        <f>'Base de Datos'!EC46</f>
        <v>0</v>
      </c>
      <c r="BG44" s="530">
        <f>'Base de Datos'!ED46</f>
        <v>0</v>
      </c>
    </row>
    <row r="45" spans="1:59" ht="30" customHeight="1" thickBot="1" x14ac:dyDescent="0.35">
      <c r="A45">
        <v>82</v>
      </c>
      <c r="B45" s="387" t="s">
        <v>273</v>
      </c>
      <c r="C45" s="388"/>
      <c r="D45"/>
      <c r="E45" s="435"/>
      <c r="F45" s="436"/>
      <c r="G45" s="436"/>
      <c r="H45" s="436"/>
      <c r="I45" s="436"/>
      <c r="J45" s="436"/>
      <c r="K45" s="458"/>
      <c r="M45" s="435">
        <f>M44*M35</f>
        <v>1161.2909220872054</v>
      </c>
      <c r="N45" s="436">
        <f t="shared" ref="N45:S45" si="11">N44*N35</f>
        <v>986.1591796875</v>
      </c>
      <c r="O45" s="436">
        <f t="shared" si="11"/>
        <v>1401.6571607646506</v>
      </c>
      <c r="P45" s="436">
        <f t="shared" si="11"/>
        <v>1422.9996731492074</v>
      </c>
      <c r="Q45" s="436">
        <f t="shared" si="11"/>
        <v>0</v>
      </c>
      <c r="R45" s="436">
        <f t="shared" si="11"/>
        <v>0</v>
      </c>
      <c r="S45" s="458">
        <f t="shared" si="11"/>
        <v>0</v>
      </c>
      <c r="U45" s="429">
        <f>U44*U35</f>
        <v>166.20519480519479</v>
      </c>
      <c r="V45" s="430">
        <f t="shared" ref="V45:W45" si="12">V44*V35</f>
        <v>1046.1178193286778</v>
      </c>
      <c r="W45" s="430">
        <f t="shared" si="12"/>
        <v>1809.3810637054355</v>
      </c>
      <c r="X45" s="430">
        <f t="shared" ref="X45:Y45" si="13">X44*X35</f>
        <v>1488.0732970389058</v>
      </c>
      <c r="Y45" s="430">
        <f t="shared" si="13"/>
        <v>350.57405332735823</v>
      </c>
      <c r="Z45" s="430">
        <f>Z44*Z35</f>
        <v>0</v>
      </c>
      <c r="AA45" s="430">
        <f t="shared" ref="AA45" si="14">AA44*AA35</f>
        <v>28.650793650793648</v>
      </c>
      <c r="AC45" s="482">
        <f t="shared" ref="AC45:AD45" si="15">AC44*AC35</f>
        <v>1026.6030008492971</v>
      </c>
      <c r="AD45" s="483">
        <f t="shared" si="15"/>
        <v>1415.5283248506305</v>
      </c>
      <c r="AE45" s="483">
        <f t="shared" ref="AE45:AF45" si="16">AE44*AE35</f>
        <v>1242.439024390244</v>
      </c>
      <c r="AF45" s="483">
        <f t="shared" si="16"/>
        <v>190.9639243290805</v>
      </c>
      <c r="AG45" s="483">
        <f t="shared" ref="AG45:AI45" si="17">AG44*AG35</f>
        <v>443.20131757411355</v>
      </c>
      <c r="AH45" s="483">
        <f t="shared" si="17"/>
        <v>30.66494845360825</v>
      </c>
      <c r="AI45" s="483">
        <f t="shared" si="17"/>
        <v>37.88089330024814</v>
      </c>
      <c r="AK45" s="482">
        <f t="shared" ref="AK45:AN45" si="18">AK44*AK35</f>
        <v>1517.6818181818182</v>
      </c>
      <c r="AL45" s="483">
        <f t="shared" si="18"/>
        <v>2220.9869864015204</v>
      </c>
      <c r="AM45" s="483">
        <f t="shared" si="18"/>
        <v>1256.2762499999999</v>
      </c>
      <c r="AN45" s="483">
        <f t="shared" si="18"/>
        <v>185.46845124282984</v>
      </c>
      <c r="AO45" s="483" t="e">
        <f t="shared" ref="AO45:AQ45" si="19">AO44*AO35</f>
        <v>#DIV/0!</v>
      </c>
      <c r="AP45" s="483" t="e">
        <f t="shared" si="19"/>
        <v>#DIV/0!</v>
      </c>
      <c r="AQ45" s="483" t="e">
        <f t="shared" si="19"/>
        <v>#DIV/0!</v>
      </c>
      <c r="AS45" s="482"/>
      <c r="AT45" s="483"/>
      <c r="AU45" s="483"/>
      <c r="AV45" s="483"/>
      <c r="AW45" s="483">
        <f t="shared" ref="AW45:AY45" si="20">AW44*AW35</f>
        <v>0</v>
      </c>
      <c r="AX45" s="483">
        <f t="shared" si="20"/>
        <v>0</v>
      </c>
      <c r="AY45" s="483">
        <f t="shared" si="20"/>
        <v>0</v>
      </c>
      <c r="BA45" s="482">
        <f t="shared" ref="BA45:BG45" si="21">BA44*BA35</f>
        <v>0</v>
      </c>
      <c r="BB45" s="483">
        <f t="shared" si="21"/>
        <v>0</v>
      </c>
      <c r="BC45" s="483">
        <f t="shared" si="21"/>
        <v>0</v>
      </c>
      <c r="BD45" s="483">
        <f t="shared" si="21"/>
        <v>0</v>
      </c>
      <c r="BE45" s="483">
        <f t="shared" si="21"/>
        <v>0</v>
      </c>
      <c r="BF45" s="483">
        <f t="shared" si="21"/>
        <v>0</v>
      </c>
      <c r="BG45" s="483">
        <f t="shared" si="21"/>
        <v>0</v>
      </c>
    </row>
    <row r="46" spans="1:59" ht="24.9" customHeight="1" thickBot="1" x14ac:dyDescent="0.35">
      <c r="A46">
        <v>83</v>
      </c>
      <c r="B46" s="716" t="s">
        <v>93</v>
      </c>
      <c r="C46" s="717"/>
      <c r="D46"/>
      <c r="E46" s="695"/>
      <c r="F46" s="696"/>
      <c r="G46" s="696"/>
      <c r="H46" s="696"/>
      <c r="I46" s="696"/>
      <c r="J46" s="696"/>
      <c r="K46" s="697"/>
      <c r="M46" s="713"/>
      <c r="N46" s="714"/>
      <c r="O46" s="714"/>
      <c r="P46" s="714"/>
      <c r="Q46" s="714"/>
      <c r="R46" s="714"/>
      <c r="S46" s="715"/>
      <c r="U46" s="695"/>
      <c r="V46" s="696"/>
      <c r="W46" s="696"/>
      <c r="X46" s="696"/>
      <c r="Y46" s="696"/>
      <c r="Z46" s="696"/>
      <c r="AA46" s="697"/>
      <c r="AC46" s="665"/>
      <c r="AD46" s="666"/>
      <c r="AE46" s="666"/>
      <c r="AF46" s="666"/>
      <c r="AG46" s="666"/>
      <c r="AH46" s="666"/>
      <c r="AI46" s="667"/>
      <c r="AK46" s="665"/>
      <c r="AL46" s="666"/>
      <c r="AM46" s="666"/>
      <c r="AN46" s="666"/>
      <c r="AO46" s="666"/>
      <c r="AP46" s="666"/>
      <c r="AQ46" s="667"/>
      <c r="AS46" s="665"/>
      <c r="AT46" s="666"/>
      <c r="AU46" s="666"/>
      <c r="AV46" s="666"/>
      <c r="AW46" s="666"/>
      <c r="AX46" s="666"/>
      <c r="AY46" s="667"/>
      <c r="BA46" s="665"/>
      <c r="BB46" s="666"/>
      <c r="BC46" s="666"/>
      <c r="BD46" s="666"/>
      <c r="BE46" s="666"/>
      <c r="BF46" s="666"/>
      <c r="BG46" s="667"/>
    </row>
    <row r="47" spans="1:59" ht="30" customHeight="1" x14ac:dyDescent="0.3">
      <c r="A47">
        <v>84</v>
      </c>
      <c r="B47" s="396" t="s">
        <v>354</v>
      </c>
      <c r="C47" s="503" t="s">
        <v>287</v>
      </c>
      <c r="D47"/>
      <c r="E47" s="432">
        <v>158.67928176795581</v>
      </c>
      <c r="F47" s="433">
        <v>81.059403669724787</v>
      </c>
      <c r="G47" s="433">
        <v>87.173100871731009</v>
      </c>
      <c r="H47" s="433">
        <v>81</v>
      </c>
      <c r="I47" s="433">
        <v>131.95492424242425</v>
      </c>
      <c r="J47" s="433">
        <v>24.948101265822785</v>
      </c>
      <c r="K47" s="459">
        <v>23.3</v>
      </c>
      <c r="M47" s="414">
        <f>'Base de Datos'!CE130</f>
        <v>15.301639344262297</v>
      </c>
      <c r="N47" s="415">
        <f>'Base de Datos'!CF130</f>
        <v>155.80669014084509</v>
      </c>
      <c r="O47" s="415">
        <f>'Base de Datos'!CG130</f>
        <v>94.568333333333328</v>
      </c>
      <c r="P47" s="415">
        <f>'Base de Datos'!CH130</f>
        <v>128.08600682593857</v>
      </c>
      <c r="Q47" s="415">
        <f>'Base de Datos'!CI130</f>
        <v>0</v>
      </c>
      <c r="R47" s="415">
        <f>'Base de Datos'!CJ130</f>
        <v>0</v>
      </c>
      <c r="S47" s="416">
        <f>'Base de Datos'!CK130</f>
        <v>0</v>
      </c>
      <c r="U47" s="432">
        <v>0</v>
      </c>
      <c r="V47" s="433">
        <f>'Base de Datos'!CO130</f>
        <v>129.34767596281537</v>
      </c>
      <c r="W47" s="433">
        <f>'Base de Datos'!CP130</f>
        <v>101.12292161520189</v>
      </c>
      <c r="X47" s="433">
        <f>'Base de Datos'!CQ130</f>
        <v>204.00566037735851</v>
      </c>
      <c r="Y47" s="433">
        <f>'Base de Datos'!CR130</f>
        <v>186.57783375314861</v>
      </c>
      <c r="Z47" s="433">
        <f>'Base de Datos'!CS130</f>
        <v>188.94371859296484</v>
      </c>
      <c r="AA47" s="433">
        <f>'Base de Datos'!CT130</f>
        <v>125.76330935251798</v>
      </c>
      <c r="AC47" s="479">
        <f>'Base de Datos'!CW130</f>
        <v>0</v>
      </c>
      <c r="AD47" s="480">
        <f>'Base de Datos'!CX130</f>
        <v>248.40326209223844</v>
      </c>
      <c r="AE47" s="480">
        <f>'Base de Datos'!CY130</f>
        <v>154.03421052631577</v>
      </c>
      <c r="AF47" s="480">
        <f>'Base de Datos'!CZ130</f>
        <v>181.43691860465117</v>
      </c>
      <c r="AG47" s="480">
        <f>'Base de Datos'!DA130</f>
        <v>298.87635467980294</v>
      </c>
      <c r="AH47" s="480">
        <f>'Base de Datos'!DB130</f>
        <v>338.16776859504131</v>
      </c>
      <c r="AI47" s="480">
        <f>'Base de Datos'!DC130</f>
        <v>490.22222222222229</v>
      </c>
      <c r="AK47" s="479">
        <f>'Base de Datos'!DF130</f>
        <v>130.24755879521385</v>
      </c>
      <c r="AL47" s="480">
        <f>'Base de Datos'!DG130</f>
        <v>107.69507575757576</v>
      </c>
      <c r="AM47" s="480">
        <f>'Base de Datos'!DH130</f>
        <v>120.93293492695884</v>
      </c>
      <c r="AN47" s="480">
        <f>'Base de Datos'!DI130</f>
        <v>272.76363636363635</v>
      </c>
      <c r="AO47" s="480"/>
      <c r="AP47" s="480"/>
      <c r="AQ47" s="481"/>
      <c r="AS47" s="479"/>
      <c r="AT47" s="480"/>
      <c r="AU47" s="480"/>
      <c r="AV47" s="480"/>
      <c r="AW47" s="480">
        <f>'Base de Datos'!DS73</f>
        <v>4586.8100000000004</v>
      </c>
      <c r="AX47" s="480">
        <f>'Base de Datos'!DT73</f>
        <v>4578.38</v>
      </c>
      <c r="AY47" s="480">
        <f>'Base de Datos'!DU73</f>
        <v>4771.78</v>
      </c>
      <c r="BA47" s="479">
        <f>'Base de Datos'!DX73</f>
        <v>5436.91</v>
      </c>
      <c r="BB47" s="480">
        <f>'Base de Datos'!DY73</f>
        <v>5921.81</v>
      </c>
      <c r="BC47" s="480">
        <f>'Base de Datos'!DZ73</f>
        <v>3601.13</v>
      </c>
      <c r="BD47" s="480">
        <f>'Base de Datos'!EA73</f>
        <v>6767.69</v>
      </c>
      <c r="BE47" s="480"/>
      <c r="BF47" s="480"/>
      <c r="BG47" s="481"/>
    </row>
    <row r="48" spans="1:59" ht="30" customHeight="1" x14ac:dyDescent="0.3">
      <c r="A48">
        <v>85</v>
      </c>
      <c r="B48" s="397" t="s">
        <v>254</v>
      </c>
      <c r="C48" s="398"/>
      <c r="D48"/>
      <c r="E48" s="429"/>
      <c r="F48" s="430"/>
      <c r="G48" s="430"/>
      <c r="H48" s="430"/>
      <c r="I48" s="430"/>
      <c r="J48" s="430"/>
      <c r="K48" s="431"/>
      <c r="M48" s="429">
        <f>'Base de Datos'!CE72</f>
        <v>0.02</v>
      </c>
      <c r="N48" s="430">
        <f>'Base de Datos'!CF72</f>
        <v>0.21</v>
      </c>
      <c r="O48" s="430">
        <f>'Base de Datos'!CG72</f>
        <v>0.09</v>
      </c>
      <c r="P48" s="430">
        <f>'Base de Datos'!CH72</f>
        <v>0.05</v>
      </c>
      <c r="Q48" s="430">
        <f>'Base de Datos'!CI72</f>
        <v>3</v>
      </c>
      <c r="R48" s="430">
        <f>'Base de Datos'!CJ72</f>
        <v>1.58</v>
      </c>
      <c r="S48" s="431">
        <f>'Base de Datos'!CK72</f>
        <v>0</v>
      </c>
      <c r="U48" s="429">
        <f>'Base de Datos'!CN72</f>
        <v>2.82</v>
      </c>
      <c r="V48" s="430">
        <f>'Base de Datos'!CO72</f>
        <v>0.55000000000000004</v>
      </c>
      <c r="W48" s="430">
        <f>'Base de Datos'!CP72</f>
        <v>0.09</v>
      </c>
      <c r="X48" s="430">
        <f>'Base de Datos'!CQ72</f>
        <v>0.09</v>
      </c>
      <c r="Y48" s="430">
        <f>'Base de Datos'!CR72</f>
        <v>0.21</v>
      </c>
      <c r="Z48" s="430">
        <f>'Base de Datos'!CS72</f>
        <v>0.12</v>
      </c>
      <c r="AA48" s="430">
        <f>'Base de Datos'!CT72</f>
        <v>0.73</v>
      </c>
      <c r="AC48" s="532">
        <f>'Base de Datos'!CW72</f>
        <v>0.02</v>
      </c>
      <c r="AD48" s="530">
        <f>'Base de Datos'!CX72</f>
        <v>0.2</v>
      </c>
      <c r="AE48" s="530">
        <f>'Base de Datos'!CY72</f>
        <v>0.17</v>
      </c>
      <c r="AF48" s="530">
        <f>'Base de Datos'!CZ72</f>
        <v>0</v>
      </c>
      <c r="AG48" s="530">
        <f>'Base de Datos'!DA72</f>
        <v>0.36</v>
      </c>
      <c r="AH48" s="530">
        <f>'Base de Datos'!DB72</f>
        <v>2.4900000000000002</v>
      </c>
      <c r="AI48" s="530">
        <f>'Base de Datos'!DC72</f>
        <v>0.28999999999999998</v>
      </c>
      <c r="AK48" s="532">
        <f>'Base de Datos'!DF72</f>
        <v>0.15</v>
      </c>
      <c r="AL48" s="530">
        <f>'Base de Datos'!DG72</f>
        <v>10.31</v>
      </c>
      <c r="AM48" s="530">
        <f>'Base de Datos'!DH72</f>
        <v>0.39</v>
      </c>
      <c r="AN48" s="530">
        <f>'Base de Datos'!DI72</f>
        <v>0.04</v>
      </c>
      <c r="AO48" s="530"/>
      <c r="AP48" s="530"/>
      <c r="AQ48" s="533"/>
      <c r="AS48" s="532"/>
      <c r="AT48" s="530"/>
      <c r="AU48" s="530"/>
      <c r="AV48" s="530"/>
      <c r="AW48" s="530">
        <f>'Base de Datos'!DS72</f>
        <v>0.04</v>
      </c>
      <c r="AX48" s="530">
        <f>'Base de Datos'!DT72</f>
        <v>0.01</v>
      </c>
      <c r="AY48" s="530">
        <f>'Base de Datos'!DU72</f>
        <v>0.01</v>
      </c>
      <c r="BA48" s="532">
        <f>'Base de Datos'!DX72</f>
        <v>0</v>
      </c>
      <c r="BB48" s="530">
        <f>'Base de Datos'!DY72</f>
        <v>7.0000000000000007E-2</v>
      </c>
      <c r="BC48" s="530">
        <f>'Base de Datos'!DZ72</f>
        <v>0</v>
      </c>
      <c r="BD48" s="530">
        <f>'Base de Datos'!EA72</f>
        <v>0</v>
      </c>
      <c r="BE48" s="530"/>
      <c r="BF48" s="530"/>
      <c r="BG48" s="533"/>
    </row>
    <row r="49" spans="1:59" ht="30" customHeight="1" thickBot="1" x14ac:dyDescent="0.35">
      <c r="A49">
        <v>86</v>
      </c>
      <c r="B49" s="399" t="s">
        <v>288</v>
      </c>
      <c r="C49" s="400"/>
      <c r="D49"/>
      <c r="E49" s="429"/>
      <c r="F49" s="430"/>
      <c r="G49" s="430"/>
      <c r="H49" s="430"/>
      <c r="I49" s="430"/>
      <c r="J49" s="430"/>
      <c r="K49" s="431"/>
      <c r="M49" s="429">
        <f>M48*M35</f>
        <v>2.0266857279008819</v>
      </c>
      <c r="N49" s="430">
        <f t="shared" ref="N49:S49" si="22">N48*N35</f>
        <v>21.5947265625</v>
      </c>
      <c r="O49" s="430">
        <f t="shared" si="22"/>
        <v>8.8900031338138508</v>
      </c>
      <c r="P49" s="430">
        <f t="shared" si="22"/>
        <v>5.2124530151985624</v>
      </c>
      <c r="Q49" s="430">
        <f t="shared" si="22"/>
        <v>0</v>
      </c>
      <c r="R49" s="430">
        <f t="shared" si="22"/>
        <v>0</v>
      </c>
      <c r="S49" s="431">
        <f t="shared" si="22"/>
        <v>0</v>
      </c>
      <c r="U49" s="429">
        <f>U48*U35</f>
        <v>384.17922077922077</v>
      </c>
      <c r="V49" s="430">
        <f t="shared" ref="V49:W49" si="23">V48*V35</f>
        <v>55.006195088984015</v>
      </c>
      <c r="W49" s="430">
        <f t="shared" si="23"/>
        <v>13.250146113383986</v>
      </c>
      <c r="X49" s="430">
        <f t="shared" ref="X49:AA49" si="24">X48*X35</f>
        <v>9.4983401938653564</v>
      </c>
      <c r="Y49" s="430">
        <f t="shared" si="24"/>
        <v>21.277615953394577</v>
      </c>
      <c r="Z49" s="430">
        <f t="shared" si="24"/>
        <v>15.737704918032785</v>
      </c>
      <c r="AA49" s="430">
        <f t="shared" si="24"/>
        <v>59.75736961451247</v>
      </c>
      <c r="AC49" s="482">
        <f t="shared" ref="AC49:AD49" si="25">AC48*AC35</f>
        <v>1.8871378692082668</v>
      </c>
      <c r="AD49" s="483">
        <f t="shared" si="25"/>
        <v>20.294312901084311</v>
      </c>
      <c r="AE49" s="483">
        <f t="shared" ref="AE49:AF49" si="26">AE48*AE35</f>
        <v>17.256097560975611</v>
      </c>
      <c r="AF49" s="483">
        <f t="shared" si="26"/>
        <v>0</v>
      </c>
      <c r="AG49" s="483">
        <f t="shared" ref="AG49:AI49" si="27">AG48*AG35</f>
        <v>34.535167603177676</v>
      </c>
      <c r="AH49" s="483">
        <f t="shared" si="27"/>
        <v>282.79896907216499</v>
      </c>
      <c r="AI49" s="483">
        <f t="shared" si="27"/>
        <v>32.310173697270464</v>
      </c>
      <c r="AK49" s="482">
        <f t="shared" ref="AK49:AL49" si="28">AK48*AK35</f>
        <v>14.744318181818182</v>
      </c>
      <c r="AL49" s="483">
        <f t="shared" si="28"/>
        <v>1114.8186869425356</v>
      </c>
      <c r="AM49" s="483">
        <f t="shared" ref="AM49:AN49" si="29">AM48*AM35</f>
        <v>38.60896276595745</v>
      </c>
      <c r="AN49" s="483">
        <f t="shared" si="29"/>
        <v>3.7093690248565969</v>
      </c>
      <c r="AO49" s="483"/>
      <c r="AP49" s="483"/>
      <c r="AQ49" s="484"/>
      <c r="AS49" s="482"/>
      <c r="AT49" s="483"/>
      <c r="AU49" s="483"/>
      <c r="AV49" s="483"/>
      <c r="AW49" s="483">
        <f>AW48*DDS!AW35</f>
        <v>4.6493567251461982</v>
      </c>
      <c r="AX49" s="483">
        <f>AX48*DDS!AX35</f>
        <v>1.7493421052631579</v>
      </c>
      <c r="AY49" s="483">
        <f>AY48*DDS!AY35</f>
        <v>1.5684210526315789</v>
      </c>
      <c r="BA49" s="532">
        <f t="shared" ref="BA49:BB49" si="30">BA48*BA35</f>
        <v>0</v>
      </c>
      <c r="BB49" s="530">
        <f t="shared" si="30"/>
        <v>11.63842105263158</v>
      </c>
      <c r="BC49" s="530">
        <f t="shared" ref="BC49:BD49" si="31">BC48*BC35</f>
        <v>0</v>
      </c>
      <c r="BD49" s="530">
        <f t="shared" si="31"/>
        <v>0</v>
      </c>
      <c r="BE49" s="530"/>
      <c r="BF49" s="530"/>
      <c r="BG49" s="533"/>
    </row>
    <row r="50" spans="1:59" ht="30" customHeight="1" thickBot="1" x14ac:dyDescent="0.35">
      <c r="A50">
        <v>96</v>
      </c>
      <c r="B50" s="399" t="s">
        <v>255</v>
      </c>
      <c r="C50" s="502">
        <v>60</v>
      </c>
      <c r="D50"/>
      <c r="E50" s="435">
        <v>48.685359116022099</v>
      </c>
      <c r="F50" s="436"/>
      <c r="G50" s="436">
        <v>24.906600249066003</v>
      </c>
      <c r="H50" s="436">
        <v>63</v>
      </c>
      <c r="I50" s="436">
        <v>102.26212121212123</v>
      </c>
      <c r="J50" s="436">
        <v>185.03417721518986</v>
      </c>
      <c r="K50" s="458">
        <v>27.314285714285713</v>
      </c>
      <c r="M50" s="417">
        <f>'Base de Datos'!CE71</f>
        <v>0</v>
      </c>
      <c r="N50" s="418">
        <f>'Base de Datos'!CF71</f>
        <v>0</v>
      </c>
      <c r="O50" s="418">
        <f>'Base de Datos'!CG71</f>
        <v>0</v>
      </c>
      <c r="P50" s="418">
        <f>'Base de Datos'!CH71</f>
        <v>0</v>
      </c>
      <c r="Q50" s="418">
        <f>'Base de Datos'!CI71</f>
        <v>0</v>
      </c>
      <c r="R50" s="418">
        <f>'Base de Datos'!CJ71</f>
        <v>0</v>
      </c>
      <c r="S50" s="419">
        <f>'Base de Datos'!CK71</f>
        <v>0</v>
      </c>
      <c r="U50" s="435">
        <f>'Base de Datos'!CN71</f>
        <v>0</v>
      </c>
      <c r="V50" s="436">
        <f>'Base de Datos'!CO71</f>
        <v>0</v>
      </c>
      <c r="W50" s="436">
        <f>'Base de Datos'!CP71</f>
        <v>0</v>
      </c>
      <c r="X50" s="436">
        <f>'Base de Datos'!CQ71</f>
        <v>0</v>
      </c>
      <c r="Y50" s="436">
        <f>'Base de Datos'!CR71</f>
        <v>0</v>
      </c>
      <c r="Z50" s="436">
        <f>'Base de Datos'!CS71</f>
        <v>0</v>
      </c>
      <c r="AA50" s="458">
        <f>'Base de Datos'!CT71</f>
        <v>0</v>
      </c>
      <c r="AC50" s="494">
        <f>'Base de Datos'!CW71</f>
        <v>0</v>
      </c>
      <c r="AD50" s="495">
        <f>'Base de Datos'!CX71</f>
        <v>0</v>
      </c>
      <c r="AE50" s="495">
        <f>'Base de Datos'!CY71</f>
        <v>0</v>
      </c>
      <c r="AF50" s="495">
        <f>'Base de Datos'!CZ71</f>
        <v>0</v>
      </c>
      <c r="AG50" s="495">
        <f>'Base de Datos'!DA71</f>
        <v>0</v>
      </c>
      <c r="AH50" s="495">
        <f>'Base de Datos'!DB71</f>
        <v>0</v>
      </c>
      <c r="AI50" s="539">
        <f>'Base de Datos'!DC71</f>
        <v>0</v>
      </c>
      <c r="AK50" s="494">
        <f>'Base de Datos'!DF71</f>
        <v>0</v>
      </c>
      <c r="AL50" s="495">
        <f>'Base de Datos'!DG71</f>
        <v>0</v>
      </c>
      <c r="AM50" s="495">
        <f>'Base de Datos'!DH71</f>
        <v>0</v>
      </c>
      <c r="AN50" s="495">
        <f>'Base de Datos'!DI71</f>
        <v>0</v>
      </c>
      <c r="AO50" s="495">
        <f>'Base de Datos'!DJ71</f>
        <v>0</v>
      </c>
      <c r="AP50" s="495">
        <f>'Base de Datos'!DK71</f>
        <v>0</v>
      </c>
      <c r="AQ50" s="539">
        <f>'Base de Datos'!DL71</f>
        <v>0</v>
      </c>
      <c r="AS50" s="494">
        <f>'Base de Datos'!DO71</f>
        <v>0</v>
      </c>
      <c r="AT50" s="495">
        <f>'Base de Datos'!DP71</f>
        <v>0</v>
      </c>
      <c r="AU50" s="495">
        <f>'Base de Datos'!DQ71</f>
        <v>0</v>
      </c>
      <c r="AV50" s="495">
        <f>'Base de Datos'!DR71</f>
        <v>0</v>
      </c>
      <c r="AW50" s="495">
        <f>'Base de Datos'!DS71</f>
        <v>0</v>
      </c>
      <c r="AX50" s="495">
        <f>'Base de Datos'!DT71</f>
        <v>0</v>
      </c>
      <c r="AY50" s="539">
        <f>'Base de Datos'!DU71</f>
        <v>0</v>
      </c>
      <c r="BA50" s="482">
        <f>'Base de Datos'!DX71</f>
        <v>0</v>
      </c>
      <c r="BB50" s="483">
        <f>'Base de Datos'!DY71</f>
        <v>0</v>
      </c>
      <c r="BC50" s="483">
        <f>'Base de Datos'!DZ71</f>
        <v>0</v>
      </c>
      <c r="BD50" s="483">
        <f>'Base de Datos'!EA71</f>
        <v>0</v>
      </c>
      <c r="BE50" s="483">
        <f>'Base de Datos'!EB71</f>
        <v>0</v>
      </c>
      <c r="BF50" s="483">
        <f>'Base de Datos'!EC71</f>
        <v>0</v>
      </c>
      <c r="BG50" s="484">
        <f>'Base de Datos'!ED71</f>
        <v>0</v>
      </c>
    </row>
    <row r="51" spans="1:59" ht="24.9" customHeight="1" thickBot="1" x14ac:dyDescent="0.35">
      <c r="A51">
        <v>87</v>
      </c>
      <c r="B51" s="720" t="s">
        <v>131</v>
      </c>
      <c r="C51" s="721"/>
      <c r="D51"/>
      <c r="E51" s="668"/>
      <c r="F51" s="669"/>
      <c r="G51" s="669"/>
      <c r="H51" s="669"/>
      <c r="I51" s="669"/>
      <c r="J51" s="669"/>
      <c r="K51" s="670"/>
      <c r="M51" s="710"/>
      <c r="N51" s="711"/>
      <c r="O51" s="711"/>
      <c r="P51" s="711"/>
      <c r="Q51" s="711"/>
      <c r="R51" s="711"/>
      <c r="S51" s="712"/>
      <c r="U51" s="668"/>
      <c r="V51" s="669"/>
      <c r="W51" s="669"/>
      <c r="X51" s="669"/>
      <c r="Y51" s="669"/>
      <c r="Z51" s="669"/>
      <c r="AA51" s="670"/>
      <c r="AC51" s="668"/>
      <c r="AD51" s="669"/>
      <c r="AE51" s="669"/>
      <c r="AF51" s="669"/>
      <c r="AG51" s="669"/>
      <c r="AH51" s="669"/>
      <c r="AI51" s="670"/>
      <c r="AK51" s="668"/>
      <c r="AL51" s="669"/>
      <c r="AM51" s="669"/>
      <c r="AN51" s="669"/>
      <c r="AO51" s="669"/>
      <c r="AP51" s="669"/>
      <c r="AQ51" s="670"/>
      <c r="AS51" s="668"/>
      <c r="AT51" s="669"/>
      <c r="AU51" s="669"/>
      <c r="AV51" s="669"/>
      <c r="AW51" s="669"/>
      <c r="AX51" s="669"/>
      <c r="AY51" s="670"/>
      <c r="BA51" s="668"/>
      <c r="BB51" s="669"/>
      <c r="BC51" s="669"/>
      <c r="BD51" s="669"/>
      <c r="BE51" s="669"/>
      <c r="BF51" s="669"/>
      <c r="BG51" s="670"/>
    </row>
    <row r="52" spans="1:59" ht="30.75" customHeight="1" x14ac:dyDescent="0.3">
      <c r="A52">
        <v>88</v>
      </c>
      <c r="B52" s="394" t="s">
        <v>265</v>
      </c>
      <c r="C52" s="395"/>
      <c r="D52"/>
      <c r="E52" s="432">
        <v>228.47817679558014</v>
      </c>
      <c r="F52" s="433">
        <v>67.987155963302754</v>
      </c>
      <c r="G52" s="433">
        <v>266.35230386052302</v>
      </c>
      <c r="H52" s="433">
        <v>163</v>
      </c>
      <c r="I52" s="433">
        <v>235.46628787878791</v>
      </c>
      <c r="J52" s="433">
        <v>185.69240506329112</v>
      </c>
      <c r="K52" s="459">
        <v>66.820779220779215</v>
      </c>
      <c r="M52" s="432">
        <f>'Base de Datos'!CE75</f>
        <v>0</v>
      </c>
      <c r="N52" s="433">
        <f>'Base de Datos'!CF75</f>
        <v>5078.24</v>
      </c>
      <c r="O52" s="433">
        <f>'Base de Datos'!CG75</f>
        <v>2582.35</v>
      </c>
      <c r="P52" s="433">
        <f>'Base de Datos'!CH75</f>
        <v>2475.06</v>
      </c>
      <c r="Q52" s="433">
        <f>'Base de Datos'!CI75</f>
        <v>2153</v>
      </c>
      <c r="R52" s="433">
        <f>'Base de Datos'!CJ75</f>
        <v>1140</v>
      </c>
      <c r="S52" s="459">
        <f>'Base de Datos'!CK75</f>
        <v>1070</v>
      </c>
      <c r="U52" s="414">
        <f>'Base de Datos'!CN75</f>
        <v>436</v>
      </c>
      <c r="V52" s="415">
        <f>'Base de Datos'!CO75</f>
        <v>2864.53</v>
      </c>
      <c r="W52" s="415">
        <f>'Base de Datos'!CP75</f>
        <v>2051.33</v>
      </c>
      <c r="X52" s="415">
        <f>'Base de Datos'!CQ75</f>
        <v>2298.94</v>
      </c>
      <c r="Y52" s="415">
        <f>'Base de Datos'!CR75</f>
        <v>1775.81</v>
      </c>
      <c r="Z52" s="415">
        <f>'Base de Datos'!CS75</f>
        <v>998.05</v>
      </c>
      <c r="AA52" s="415">
        <f>'Base de Datos'!CT75</f>
        <v>646.14</v>
      </c>
      <c r="AC52" s="479">
        <f>'Base de Datos'!CW75</f>
        <v>0</v>
      </c>
      <c r="AD52" s="480">
        <f>'Base de Datos'!CX75</f>
        <v>2864.53</v>
      </c>
      <c r="AE52" s="480">
        <f>'Base de Datos'!CY75</f>
        <v>2559.6999999999998</v>
      </c>
      <c r="AF52" s="480">
        <f>'Base de Datos'!CZ75</f>
        <v>1994.82</v>
      </c>
      <c r="AG52" s="480">
        <f>'Base de Datos'!DA75</f>
        <v>1357.46</v>
      </c>
      <c r="AH52" s="480">
        <f>'Base de Datos'!DB75</f>
        <v>666.8</v>
      </c>
      <c r="AI52" s="481">
        <f>'Base de Datos'!DC75</f>
        <v>593.97</v>
      </c>
      <c r="AK52" s="479">
        <f>'Base de Datos'!DF75</f>
        <v>2621.38</v>
      </c>
      <c r="AL52" s="530">
        <f>'Base de Datos'!DG75</f>
        <v>2135.31</v>
      </c>
      <c r="AM52" s="530">
        <f>'Base de Datos'!DH75</f>
        <v>2343.04</v>
      </c>
      <c r="AN52" s="530">
        <f>'Base de Datos'!DI75</f>
        <v>2099.94</v>
      </c>
      <c r="AO52" s="530">
        <f>'Base de Datos'!DJ75</f>
        <v>0</v>
      </c>
      <c r="AP52" s="530">
        <f>'Base de Datos'!DK75</f>
        <v>0</v>
      </c>
      <c r="AQ52" s="530">
        <f>'Base de Datos'!DL75</f>
        <v>0</v>
      </c>
      <c r="AS52" s="479"/>
      <c r="AT52" s="530"/>
      <c r="AU52" s="530"/>
      <c r="AV52" s="530"/>
      <c r="AW52" s="530">
        <f>'Base de Datos'!DS75</f>
        <v>117.86</v>
      </c>
      <c r="AX52" s="530">
        <f>'Base de Datos'!DT75</f>
        <v>18.78</v>
      </c>
      <c r="AY52" s="530">
        <f>'Base de Datos'!DU75</f>
        <v>246.37</v>
      </c>
      <c r="BA52" s="479">
        <f>'Base de Datos'!DX75</f>
        <v>1732.3</v>
      </c>
      <c r="BB52" s="530">
        <f>'Base de Datos'!DY75</f>
        <v>311.38</v>
      </c>
      <c r="BC52" s="530">
        <f>'Base de Datos'!DZ75</f>
        <v>419.1</v>
      </c>
      <c r="BD52" s="530">
        <f>'Base de Datos'!EA75</f>
        <v>329.3</v>
      </c>
      <c r="BE52" s="530"/>
      <c r="BF52" s="530"/>
      <c r="BG52" s="530"/>
    </row>
    <row r="53" spans="1:59" ht="30" customHeight="1" x14ac:dyDescent="0.3">
      <c r="A53">
        <v>89</v>
      </c>
      <c r="B53" s="389" t="s">
        <v>266</v>
      </c>
      <c r="C53" s="390"/>
      <c r="D53"/>
      <c r="E53" s="429">
        <v>3.9539380645161293</v>
      </c>
      <c r="F53" s="430">
        <v>3.1487524752475249</v>
      </c>
      <c r="G53" s="430">
        <v>6.0532258064516116</v>
      </c>
      <c r="H53" s="430">
        <v>3.1</v>
      </c>
      <c r="I53" s="430">
        <v>24.407988923076921</v>
      </c>
      <c r="J53" s="430" t="s">
        <v>232</v>
      </c>
      <c r="K53" s="431" t="s">
        <v>232</v>
      </c>
      <c r="M53" s="429">
        <f>'Base de Datos'!CE76</f>
        <v>0</v>
      </c>
      <c r="N53" s="430">
        <f>'Base de Datos'!CF76</f>
        <v>13213.44</v>
      </c>
      <c r="O53" s="430">
        <f>'Base de Datos'!CG76</f>
        <v>7249.79</v>
      </c>
      <c r="P53" s="430">
        <f>'Base de Datos'!CH76</f>
        <v>4158.8500000000004</v>
      </c>
      <c r="Q53" s="430">
        <f>'Base de Datos'!CI76</f>
        <v>1468</v>
      </c>
      <c r="R53" s="430">
        <f>'Base de Datos'!CJ76</f>
        <v>1003</v>
      </c>
      <c r="S53" s="431">
        <f>'Base de Datos'!CK76</f>
        <v>845</v>
      </c>
      <c r="U53" s="429">
        <f>'Base de Datos'!CN76</f>
        <v>142</v>
      </c>
      <c r="V53" s="430">
        <f>'Base de Datos'!CO76</f>
        <v>6106.11</v>
      </c>
      <c r="W53" s="430">
        <f>'Base de Datos'!CP76</f>
        <v>4152.83</v>
      </c>
      <c r="X53" s="430">
        <f>'Base de Datos'!CQ76</f>
        <v>5315.97</v>
      </c>
      <c r="Y53" s="430">
        <f>'Base de Datos'!CR76</f>
        <v>4632.45</v>
      </c>
      <c r="Z53" s="430">
        <f>'Base de Datos'!CS76</f>
        <v>3076.74</v>
      </c>
      <c r="AA53" s="430">
        <f>'Base de Datos'!CT76</f>
        <v>973.7</v>
      </c>
      <c r="AC53" s="532">
        <f>'Base de Datos'!CW76</f>
        <v>0</v>
      </c>
      <c r="AD53" s="530">
        <f>'Base de Datos'!CX76</f>
        <v>6106.11</v>
      </c>
      <c r="AE53" s="530">
        <f>'Base de Datos'!CY76</f>
        <v>10001.41</v>
      </c>
      <c r="AF53" s="530">
        <f>'Base de Datos'!CZ76</f>
        <v>8972.93</v>
      </c>
      <c r="AG53" s="530">
        <f>'Base de Datos'!DA76</f>
        <v>4425.8599999999997</v>
      </c>
      <c r="AH53" s="530">
        <f>'Base de Datos'!DB76</f>
        <v>2249.2199999999998</v>
      </c>
      <c r="AI53" s="533">
        <f>'Base de Datos'!DC76</f>
        <v>789.63</v>
      </c>
      <c r="AK53" s="532">
        <f>'Base de Datos'!DF76</f>
        <v>5955.2</v>
      </c>
      <c r="AL53" s="530">
        <f>'Base de Datos'!DG76</f>
        <v>9979.01</v>
      </c>
      <c r="AM53" s="530">
        <f>'Base de Datos'!DH76</f>
        <v>10049.280000000001</v>
      </c>
      <c r="AN53" s="530">
        <f>'Base de Datos'!DI76</f>
        <v>4471.8100000000004</v>
      </c>
      <c r="AO53" s="530">
        <f>'Base de Datos'!DJ76</f>
        <v>0</v>
      </c>
      <c r="AP53" s="530">
        <f>'Base de Datos'!DK76</f>
        <v>0</v>
      </c>
      <c r="AQ53" s="530">
        <f>'Base de Datos'!DL76</f>
        <v>0</v>
      </c>
      <c r="AS53" s="532"/>
      <c r="AT53" s="530"/>
      <c r="AU53" s="530"/>
      <c r="AV53" s="530"/>
      <c r="AW53" s="530">
        <f>'Base de Datos'!DS76</f>
        <v>3426.3</v>
      </c>
      <c r="AX53" s="530">
        <f>'Base de Datos'!DT76</f>
        <v>3622.78</v>
      </c>
      <c r="AY53" s="530">
        <f>'Base de Datos'!DU76</f>
        <v>3345.02</v>
      </c>
      <c r="BA53" s="532">
        <f>'Base de Datos'!DX76</f>
        <v>935.68</v>
      </c>
      <c r="BB53" s="530">
        <f>'Base de Datos'!DY76</f>
        <v>1832.05</v>
      </c>
      <c r="BC53" s="530">
        <f>'Base de Datos'!DZ76</f>
        <v>208.13</v>
      </c>
      <c r="BD53" s="530">
        <f>'Base de Datos'!EA76</f>
        <v>4681.6000000000004</v>
      </c>
      <c r="BE53" s="530"/>
      <c r="BF53" s="530"/>
      <c r="BG53" s="530"/>
    </row>
    <row r="54" spans="1:59" ht="30" customHeight="1" x14ac:dyDescent="0.3">
      <c r="A54">
        <v>90</v>
      </c>
      <c r="B54" s="389" t="s">
        <v>267</v>
      </c>
      <c r="C54" s="391"/>
      <c r="D54"/>
      <c r="E54" s="429">
        <v>63.4</v>
      </c>
      <c r="F54" s="430">
        <v>0</v>
      </c>
      <c r="G54" s="430">
        <v>140</v>
      </c>
      <c r="H54" s="430">
        <v>151.13</v>
      </c>
      <c r="I54" s="430">
        <v>149.97999999999999</v>
      </c>
      <c r="J54" s="430">
        <v>135.33000000000001</v>
      </c>
      <c r="K54" s="431">
        <v>54.53</v>
      </c>
      <c r="M54" s="429">
        <f>'Base de Datos'!CE77</f>
        <v>1746.91</v>
      </c>
      <c r="N54" s="430">
        <f>'Base de Datos'!CF77</f>
        <v>1545.5</v>
      </c>
      <c r="O54" s="430">
        <f>'Base de Datos'!CG77</f>
        <v>2016.53</v>
      </c>
      <c r="P54" s="430">
        <f>'Base de Datos'!CH77</f>
        <v>1598.72</v>
      </c>
      <c r="Q54" s="430">
        <f>'Base de Datos'!CI77</f>
        <v>505</v>
      </c>
      <c r="R54" s="430">
        <f>'Base de Datos'!CJ77</f>
        <v>3.56</v>
      </c>
      <c r="S54" s="431">
        <f>'Base de Datos'!CK77</f>
        <v>3.63</v>
      </c>
      <c r="U54" s="429">
        <f>'Base de Datos'!CN77</f>
        <v>92.59</v>
      </c>
      <c r="V54" s="430">
        <f>'Base de Datos'!CO77</f>
        <v>1862.47</v>
      </c>
      <c r="W54" s="430">
        <f>'Base de Datos'!CP77</f>
        <v>1418.25</v>
      </c>
      <c r="X54" s="430">
        <f>'Base de Datos'!CQ77</f>
        <v>1932.19</v>
      </c>
      <c r="Y54" s="430">
        <f>'Base de Datos'!CR77</f>
        <v>1175.6600000000001</v>
      </c>
      <c r="Z54" s="430">
        <f>'Base de Datos'!CS77</f>
        <v>448.47</v>
      </c>
      <c r="AA54" s="430">
        <f>'Base de Datos'!CT77</f>
        <v>93</v>
      </c>
      <c r="AC54" s="532">
        <f>'Base de Datos'!CW77</f>
        <v>2061.91</v>
      </c>
      <c r="AD54" s="530">
        <f>'Base de Datos'!CX77</f>
        <v>1862.47</v>
      </c>
      <c r="AE54" s="530">
        <f>'Base de Datos'!CY77</f>
        <v>2422.19</v>
      </c>
      <c r="AF54" s="530">
        <f>'Base de Datos'!CZ77</f>
        <v>1918.28</v>
      </c>
      <c r="AG54" s="530">
        <f>'Base de Datos'!DA77</f>
        <v>888.63</v>
      </c>
      <c r="AH54" s="530">
        <f>'Base de Datos'!DB77</f>
        <v>305.81</v>
      </c>
      <c r="AI54" s="533">
        <f>'Base de Datos'!DC77</f>
        <v>78.25</v>
      </c>
      <c r="AK54" s="532">
        <f>'Base de Datos'!DF77</f>
        <v>1837.88</v>
      </c>
      <c r="AL54" s="530">
        <f>'Base de Datos'!DG77</f>
        <v>1453.75</v>
      </c>
      <c r="AM54" s="530">
        <f>'Base de Datos'!DH77</f>
        <v>1644.66</v>
      </c>
      <c r="AN54" s="530">
        <f>'Base de Datos'!DI77</f>
        <v>1220.22</v>
      </c>
      <c r="AO54" s="530">
        <f>'Base de Datos'!DJ77</f>
        <v>0</v>
      </c>
      <c r="AP54" s="530">
        <f>'Base de Datos'!DK77</f>
        <v>0</v>
      </c>
      <c r="AQ54" s="530">
        <f>'Base de Datos'!DL77</f>
        <v>0</v>
      </c>
      <c r="AS54" s="532"/>
      <c r="AT54" s="530"/>
      <c r="AU54" s="530"/>
      <c r="AV54" s="530"/>
      <c r="AW54" s="530">
        <f>'Base de Datos'!DS77</f>
        <v>148.19</v>
      </c>
      <c r="AX54" s="530">
        <f>'Base de Datos'!DT77</f>
        <v>2.4700000000000002</v>
      </c>
      <c r="AY54" s="530">
        <f>'Base de Datos'!DU77</f>
        <v>2.5</v>
      </c>
      <c r="BA54" s="532">
        <f>'Base de Datos'!DX77</f>
        <v>2.5299999999999998</v>
      </c>
      <c r="BB54" s="530">
        <f>'Base de Datos'!DY77</f>
        <v>577.28</v>
      </c>
      <c r="BC54" s="530">
        <f>'Base de Datos'!DZ77</f>
        <v>1558.34</v>
      </c>
      <c r="BD54" s="530">
        <f>'Base de Datos'!EA77</f>
        <v>1901.28</v>
      </c>
      <c r="BE54" s="530"/>
      <c r="BF54" s="530"/>
      <c r="BG54" s="530"/>
    </row>
    <row r="55" spans="1:59" ht="30" customHeight="1" x14ac:dyDescent="0.3">
      <c r="A55">
        <v>91</v>
      </c>
      <c r="B55" s="389" t="s">
        <v>268</v>
      </c>
      <c r="C55" s="391"/>
      <c r="D55"/>
      <c r="E55" s="438">
        <v>10208</v>
      </c>
      <c r="F55" s="439">
        <v>8834</v>
      </c>
      <c r="G55" s="439">
        <v>6241</v>
      </c>
      <c r="H55" s="439">
        <v>8752</v>
      </c>
      <c r="I55" s="439">
        <v>4392</v>
      </c>
      <c r="J55" s="439">
        <v>208</v>
      </c>
      <c r="K55" s="440">
        <v>371.5</v>
      </c>
      <c r="M55" s="438">
        <f>'Base de Datos'!CE78</f>
        <v>0</v>
      </c>
      <c r="N55" s="439">
        <f>'Base de Datos'!CF78</f>
        <v>2058.11</v>
      </c>
      <c r="O55" s="439">
        <f>'Base de Datos'!CG78</f>
        <v>2100.92</v>
      </c>
      <c r="P55" s="439">
        <f>'Base de Datos'!CH78</f>
        <v>2068.59</v>
      </c>
      <c r="Q55" s="439">
        <f>'Base de Datos'!CI78</f>
        <v>1673</v>
      </c>
      <c r="R55" s="439">
        <f>'Base de Datos'!CJ78</f>
        <v>1314</v>
      </c>
      <c r="S55" s="440">
        <f>'Base de Datos'!CK78</f>
        <v>829</v>
      </c>
      <c r="U55" s="438">
        <f>'Base de Datos'!CN78</f>
        <v>448</v>
      </c>
      <c r="V55" s="439">
        <f>'Base de Datos'!CO78</f>
        <v>2136.23</v>
      </c>
      <c r="W55" s="439">
        <f>'Base de Datos'!CP78</f>
        <v>1498.6</v>
      </c>
      <c r="X55" s="439">
        <f>'Base de Datos'!CQ78</f>
        <v>2062.84</v>
      </c>
      <c r="Y55" s="439">
        <f>'Base de Datos'!CR78</f>
        <v>1643.08</v>
      </c>
      <c r="Z55" s="439">
        <f>'Base de Datos'!CS78</f>
        <v>1022.57</v>
      </c>
      <c r="AA55" s="439">
        <f>'Base de Datos'!CT78</f>
        <v>594.44000000000005</v>
      </c>
      <c r="AC55" s="554">
        <f>'Base de Datos'!CW78</f>
        <v>0</v>
      </c>
      <c r="AD55" s="551">
        <f>'Base de Datos'!CX78</f>
        <v>2136.23</v>
      </c>
      <c r="AE55" s="551">
        <f>'Base de Datos'!CY78</f>
        <v>2495.17</v>
      </c>
      <c r="AF55" s="551">
        <f>'Base de Datos'!CZ78</f>
        <v>2413.9899999999998</v>
      </c>
      <c r="AG55" s="551">
        <f>'Base de Datos'!DA78</f>
        <v>1986</v>
      </c>
      <c r="AH55" s="551">
        <f>'Base de Datos'!DB78</f>
        <v>1097.99</v>
      </c>
      <c r="AI55" s="552">
        <f>'Base de Datos'!DC78</f>
        <v>481</v>
      </c>
      <c r="AK55" s="554">
        <f>'Base de Datos'!DF78</f>
        <v>2080.86</v>
      </c>
      <c r="AL55" s="530">
        <f>'Base de Datos'!DG78</f>
        <v>2075.04</v>
      </c>
      <c r="AM55" s="530">
        <f>'Base de Datos'!DH78</f>
        <v>2093.9699999999998</v>
      </c>
      <c r="AN55" s="530">
        <f>'Base de Datos'!DI78</f>
        <v>1711.12</v>
      </c>
      <c r="AO55" s="530">
        <f>'Base de Datos'!DJ78</f>
        <v>0</v>
      </c>
      <c r="AP55" s="530">
        <f>'Base de Datos'!DK78</f>
        <v>0</v>
      </c>
      <c r="AQ55" s="530">
        <f>'Base de Datos'!DL78</f>
        <v>0</v>
      </c>
      <c r="AS55" s="554"/>
      <c r="AT55" s="530"/>
      <c r="AU55" s="530"/>
      <c r="AV55" s="530"/>
      <c r="AW55" s="530">
        <f>'Base de Datos'!DS78</f>
        <v>360.54</v>
      </c>
      <c r="AX55" s="530">
        <f>'Base de Datos'!DT78</f>
        <v>383.84</v>
      </c>
      <c r="AY55" s="530">
        <f>'Base de Datos'!DU78</f>
        <v>626.33000000000004</v>
      </c>
      <c r="BA55" s="554">
        <f>'Base de Datos'!DX78</f>
        <v>1884.16</v>
      </c>
      <c r="BB55" s="530">
        <f>'Base de Datos'!DY78</f>
        <v>2081.88</v>
      </c>
      <c r="BC55" s="530">
        <f>'Base de Datos'!DZ78</f>
        <v>237.52</v>
      </c>
      <c r="BD55" s="530">
        <f>'Base de Datos'!EA78</f>
        <v>370.2</v>
      </c>
      <c r="BE55" s="530"/>
      <c r="BF55" s="530"/>
      <c r="BG55" s="530"/>
    </row>
    <row r="56" spans="1:59" ht="30" customHeight="1" x14ac:dyDescent="0.3">
      <c r="A56">
        <v>92</v>
      </c>
      <c r="B56" s="389" t="s">
        <v>270</v>
      </c>
      <c r="C56" s="391"/>
      <c r="D56"/>
      <c r="E56" s="438">
        <v>98.14</v>
      </c>
      <c r="F56" s="439">
        <v>86.72</v>
      </c>
      <c r="G56" s="439">
        <v>68.64</v>
      </c>
      <c r="H56" s="439">
        <v>81.92</v>
      </c>
      <c r="I56" s="439">
        <v>37.25</v>
      </c>
      <c r="J56" s="439">
        <v>1.91</v>
      </c>
      <c r="K56" s="440">
        <v>4.78</v>
      </c>
      <c r="M56" s="438">
        <f>'Base de Datos'!CE79</f>
        <v>0</v>
      </c>
      <c r="N56" s="439">
        <f>'Base de Datos'!CF79</f>
        <v>1654.14</v>
      </c>
      <c r="O56" s="439">
        <f>'Base de Datos'!CG79</f>
        <v>1805.12</v>
      </c>
      <c r="P56" s="439">
        <f>'Base de Datos'!CH79</f>
        <v>1496.16</v>
      </c>
      <c r="Q56" s="439">
        <f>'Base de Datos'!CI79</f>
        <v>1392</v>
      </c>
      <c r="R56" s="439">
        <f>'Base de Datos'!CJ79</f>
        <v>803</v>
      </c>
      <c r="S56" s="440">
        <f>'Base de Datos'!CK79</f>
        <v>142</v>
      </c>
      <c r="U56" s="438">
        <f>'Base de Datos'!CN79</f>
        <v>385</v>
      </c>
      <c r="V56" s="439">
        <f>'Base de Datos'!CO79</f>
        <v>1484.13</v>
      </c>
      <c r="W56" s="439">
        <f>'Base de Datos'!CP79</f>
        <v>1331.26</v>
      </c>
      <c r="X56" s="439">
        <f>'Base de Datos'!CQ79</f>
        <v>1579.9</v>
      </c>
      <c r="Y56" s="439">
        <f>'Base de Datos'!CR79</f>
        <v>1074.5</v>
      </c>
      <c r="Z56" s="439">
        <f>'Base de Datos'!CS79</f>
        <v>493.12</v>
      </c>
      <c r="AA56" s="439">
        <f>'Base de Datos'!CT79</f>
        <v>43.14</v>
      </c>
      <c r="AC56" s="554">
        <f>'Base de Datos'!CW79</f>
        <v>0</v>
      </c>
      <c r="AD56" s="551">
        <f>'Base de Datos'!CX79</f>
        <v>1484.13</v>
      </c>
      <c r="AE56" s="551">
        <f>'Base de Datos'!CY79</f>
        <v>1461.95</v>
      </c>
      <c r="AF56" s="551">
        <f>'Base de Datos'!CZ79</f>
        <v>1116.8599999999999</v>
      </c>
      <c r="AG56" s="551">
        <f>'Base de Datos'!DA79</f>
        <v>954.02</v>
      </c>
      <c r="AH56" s="551">
        <f>'Base de Datos'!DB79</f>
        <v>772.16</v>
      </c>
      <c r="AI56" s="552">
        <f>'Base de Datos'!DC79</f>
        <v>431.33</v>
      </c>
      <c r="AK56" s="554">
        <f>'Base de Datos'!DF79</f>
        <v>1861.98</v>
      </c>
      <c r="AL56" s="530">
        <f>'Base de Datos'!DG79</f>
        <v>1196.1300000000001</v>
      </c>
      <c r="AM56" s="530">
        <f>'Base de Datos'!DH79</f>
        <v>1129.5999999999999</v>
      </c>
      <c r="AN56" s="530">
        <f>'Base de Datos'!DI79</f>
        <v>1173.6300000000001</v>
      </c>
      <c r="AO56" s="530">
        <f>'Base de Datos'!DJ79</f>
        <v>0</v>
      </c>
      <c r="AP56" s="530">
        <f>'Base de Datos'!DK79</f>
        <v>0</v>
      </c>
      <c r="AQ56" s="530">
        <f>'Base de Datos'!DL79</f>
        <v>0</v>
      </c>
      <c r="AS56" s="554"/>
      <c r="AT56" s="530"/>
      <c r="AU56" s="530"/>
      <c r="AV56" s="530"/>
      <c r="AW56" s="530">
        <f>'Base de Datos'!DS79</f>
        <v>1458.69</v>
      </c>
      <c r="AX56" s="530">
        <f>'Base de Datos'!DT79</f>
        <v>1444.32</v>
      </c>
      <c r="AY56" s="530">
        <f>'Base de Datos'!DU79</f>
        <v>1349.6</v>
      </c>
      <c r="BA56" s="554">
        <f>'Base de Datos'!DX79</f>
        <v>42.05</v>
      </c>
      <c r="BB56" s="530">
        <f>'Base de Datos'!DY79</f>
        <v>3.81</v>
      </c>
      <c r="BC56" s="530">
        <f>'Base de Datos'!DZ79</f>
        <v>188.45</v>
      </c>
      <c r="BD56" s="530">
        <f>'Base de Datos'!EA79</f>
        <v>1225.1500000000001</v>
      </c>
      <c r="BE56" s="530"/>
      <c r="BF56" s="530"/>
      <c r="BG56" s="530"/>
    </row>
    <row r="57" spans="1:59" ht="30" customHeight="1" thickBot="1" x14ac:dyDescent="0.35">
      <c r="A57">
        <v>93</v>
      </c>
      <c r="B57" s="392" t="s">
        <v>269</v>
      </c>
      <c r="C57" s="393"/>
      <c r="D57"/>
      <c r="E57" s="444">
        <v>68.05</v>
      </c>
      <c r="F57" s="445">
        <v>86.78</v>
      </c>
      <c r="G57" s="445">
        <v>69.92</v>
      </c>
      <c r="H57" s="445">
        <v>101.17</v>
      </c>
      <c r="I57" s="445">
        <v>44.89</v>
      </c>
      <c r="J57" s="445">
        <v>1</v>
      </c>
      <c r="K57" s="446">
        <v>3.75</v>
      </c>
      <c r="M57" s="444">
        <f>'Base de Datos'!CE80</f>
        <v>4510.28</v>
      </c>
      <c r="N57" s="445">
        <f>'Base de Datos'!CF80</f>
        <v>9615.2900000000009</v>
      </c>
      <c r="O57" s="445">
        <f>'Base de Datos'!CG80</f>
        <v>12531.96</v>
      </c>
      <c r="P57" s="445">
        <f>'Base de Datos'!CH80</f>
        <v>10367.57</v>
      </c>
      <c r="Q57" s="445">
        <f>'Base de Datos'!CI80</f>
        <v>3467</v>
      </c>
      <c r="R57" s="445">
        <f>'Base de Datos'!CJ80</f>
        <v>1436</v>
      </c>
      <c r="S57" s="446">
        <f>'Base de Datos'!CK80</f>
        <v>508</v>
      </c>
      <c r="U57" s="444">
        <f>'Base de Datos'!CN80</f>
        <v>458</v>
      </c>
      <c r="V57" s="445">
        <f>'Base de Datos'!CO80</f>
        <v>11232.73</v>
      </c>
      <c r="W57" s="445">
        <f>'Base de Datos'!CP80</f>
        <v>8089.08</v>
      </c>
      <c r="X57" s="445">
        <f>'Base de Datos'!CQ80</f>
        <v>10107.290000000001</v>
      </c>
      <c r="Y57" s="445">
        <f>'Base de Datos'!CR80</f>
        <v>9025.6500000000015</v>
      </c>
      <c r="Z57" s="445">
        <f>'Base de Datos'!CS80</f>
        <v>4376.53</v>
      </c>
      <c r="AA57" s="445">
        <f>'Base de Datos'!CT80</f>
        <v>1621.33</v>
      </c>
      <c r="AC57" s="600">
        <f>'Base de Datos'!CW80</f>
        <v>6118.17</v>
      </c>
      <c r="AD57" s="601">
        <f>'Base de Datos'!CX80</f>
        <v>11232.73</v>
      </c>
      <c r="AE57" s="601">
        <f>'Base de Datos'!CY80</f>
        <v>11502.439999999999</v>
      </c>
      <c r="AF57" s="601">
        <f>'Base de Datos'!CZ80</f>
        <v>10598.59</v>
      </c>
      <c r="AG57" s="601">
        <f>'Base de Datos'!DA80</f>
        <v>7210.37</v>
      </c>
      <c r="AH57" s="601">
        <f>'Base de Datos'!DB80</f>
        <v>4192.47</v>
      </c>
      <c r="AI57" s="602">
        <f>'Base de Datos'!DC80</f>
        <v>1790.16</v>
      </c>
      <c r="AK57" s="600">
        <f>'Base de Datos'!DF80</f>
        <v>10094.14</v>
      </c>
      <c r="AL57" s="601">
        <f>'Base de Datos'!DG80</f>
        <v>10667.08</v>
      </c>
      <c r="AM57" s="601">
        <f>'Base de Datos'!DH80</f>
        <v>11170.83</v>
      </c>
      <c r="AN57" s="601">
        <f>'Base de Datos'!DI80</f>
        <v>6293.52</v>
      </c>
      <c r="AO57" s="601">
        <f>'Base de Datos'!DJ80</f>
        <v>0</v>
      </c>
      <c r="AP57" s="601">
        <f>'Base de Datos'!DK80</f>
        <v>0</v>
      </c>
      <c r="AQ57" s="601">
        <f>'Base de Datos'!DL80</f>
        <v>0</v>
      </c>
      <c r="AS57" s="600"/>
      <c r="AT57" s="601"/>
      <c r="AU57" s="601"/>
      <c r="AV57" s="601"/>
      <c r="AW57" s="601">
        <f>'Base de Datos'!DS80</f>
        <v>9.44</v>
      </c>
      <c r="AX57" s="601">
        <f>'Base de Datos'!DT80</f>
        <v>2330.6800000000003</v>
      </c>
      <c r="AY57" s="601">
        <f>'Base de Datos'!DU80</f>
        <v>1291.19</v>
      </c>
      <c r="BA57" s="600">
        <f>'Base de Datos'!DX80</f>
        <v>6666.77</v>
      </c>
      <c r="BB57" s="601">
        <f>'Base de Datos'!DY80</f>
        <v>6246.7</v>
      </c>
      <c r="BC57" s="601">
        <f>'Base de Datos'!DZ80</f>
        <v>495.28000000000003</v>
      </c>
      <c r="BD57" s="601">
        <f>'Base de Datos'!EA80</f>
        <v>5605.17</v>
      </c>
      <c r="BE57" s="601"/>
      <c r="BF57" s="601"/>
      <c r="BG57" s="601"/>
    </row>
  </sheetData>
  <mergeCells count="88">
    <mergeCell ref="AK29:AQ29"/>
    <mergeCell ref="AK36:AQ36"/>
    <mergeCell ref="AK42:AQ42"/>
    <mergeCell ref="AK46:AQ46"/>
    <mergeCell ref="AK51:AQ51"/>
    <mergeCell ref="AK1:AQ1"/>
    <mergeCell ref="AK3:AQ3"/>
    <mergeCell ref="AK8:AQ8"/>
    <mergeCell ref="AK13:AQ13"/>
    <mergeCell ref="AK19:AQ19"/>
    <mergeCell ref="AC29:AI29"/>
    <mergeCell ref="AC36:AI36"/>
    <mergeCell ref="AC42:AI42"/>
    <mergeCell ref="AC46:AI46"/>
    <mergeCell ref="AC51:AI51"/>
    <mergeCell ref="AC1:AI1"/>
    <mergeCell ref="AC3:AI3"/>
    <mergeCell ref="AC8:AI8"/>
    <mergeCell ref="AC13:AI13"/>
    <mergeCell ref="AC19:AI19"/>
    <mergeCell ref="B12:C12"/>
    <mergeCell ref="B8:C8"/>
    <mergeCell ref="E1:K1"/>
    <mergeCell ref="M1:S1"/>
    <mergeCell ref="B9:C9"/>
    <mergeCell ref="B10:C10"/>
    <mergeCell ref="B11:C11"/>
    <mergeCell ref="B3:C3"/>
    <mergeCell ref="M3:S3"/>
    <mergeCell ref="M8:S8"/>
    <mergeCell ref="E3:K3"/>
    <mergeCell ref="E8:K8"/>
    <mergeCell ref="M13:S13"/>
    <mergeCell ref="B19:C19"/>
    <mergeCell ref="B36:C36"/>
    <mergeCell ref="B42:C42"/>
    <mergeCell ref="M19:S19"/>
    <mergeCell ref="M29:S29"/>
    <mergeCell ref="M36:S36"/>
    <mergeCell ref="M42:S42"/>
    <mergeCell ref="B14:C14"/>
    <mergeCell ref="B18:C18"/>
    <mergeCell ref="B17:C17"/>
    <mergeCell ref="B16:C16"/>
    <mergeCell ref="B13:C13"/>
    <mergeCell ref="E13:K13"/>
    <mergeCell ref="E19:K19"/>
    <mergeCell ref="B15:C15"/>
    <mergeCell ref="M51:S51"/>
    <mergeCell ref="M46:S46"/>
    <mergeCell ref="B46:C46"/>
    <mergeCell ref="B29:C29"/>
    <mergeCell ref="B51:C51"/>
    <mergeCell ref="E51:K51"/>
    <mergeCell ref="E29:K29"/>
    <mergeCell ref="E36:K36"/>
    <mergeCell ref="E42:K42"/>
    <mergeCell ref="E46:K46"/>
    <mergeCell ref="U3:AA3"/>
    <mergeCell ref="U8:AA8"/>
    <mergeCell ref="U13:AA13"/>
    <mergeCell ref="U19:AA19"/>
    <mergeCell ref="U1:AA1"/>
    <mergeCell ref="U29:AA29"/>
    <mergeCell ref="U36:AA36"/>
    <mergeCell ref="U42:AA42"/>
    <mergeCell ref="U46:AA46"/>
    <mergeCell ref="U51:AA51"/>
    <mergeCell ref="AS1:AY1"/>
    <mergeCell ref="AS3:AY3"/>
    <mergeCell ref="AS8:AY8"/>
    <mergeCell ref="AS13:AY13"/>
    <mergeCell ref="AS19:AY19"/>
    <mergeCell ref="AS29:AY29"/>
    <mergeCell ref="AS36:AY36"/>
    <mergeCell ref="AS42:AY42"/>
    <mergeCell ref="AS46:AY46"/>
    <mergeCell ref="AS51:AY51"/>
    <mergeCell ref="BA1:BG1"/>
    <mergeCell ref="BA3:BG3"/>
    <mergeCell ref="BA8:BG8"/>
    <mergeCell ref="BA13:BG13"/>
    <mergeCell ref="BA19:BG19"/>
    <mergeCell ref="BA29:BG29"/>
    <mergeCell ref="BA36:BG36"/>
    <mergeCell ref="BA42:BG42"/>
    <mergeCell ref="BA46:BG46"/>
    <mergeCell ref="BA51:BG51"/>
  </mergeCells>
  <conditionalFormatting sqref="C20 T20:T21 L20:L21 AB20:AB21 AJ20:AJ21 AR20:AR21 AZ20:AZ21 BH20:XFD21 BD20:BG20">
    <cfRule type="cellIs" dxfId="385" priority="425" operator="greaterThan">
      <formula>$C$20</formula>
    </cfRule>
  </conditionalFormatting>
  <conditionalFormatting sqref="C22 T22 L22 AB22 AJ22 AR22 AZ22 BH22:XFD22">
    <cfRule type="cellIs" dxfId="384" priority="424" operator="greaterThan">
      <formula>$C$22</formula>
    </cfRule>
  </conditionalFormatting>
  <conditionalFormatting sqref="C23 T23:T25 L23:L25 C25 AB23:AB25 AJ23:AJ25 AR23:AR25 AZ23:AZ25 BH23:XFD25">
    <cfRule type="cellIs" dxfId="383" priority="422" operator="greaterThan">
      <formula>$C$23</formula>
    </cfRule>
  </conditionalFormatting>
  <conditionalFormatting sqref="C26 T26 L26 AB26 AJ26 AR26 AZ26 BH26:XFD26">
    <cfRule type="cellIs" dxfId="382" priority="421" operator="greaterThan">
      <formula>$C$26</formula>
    </cfRule>
  </conditionalFormatting>
  <conditionalFormatting sqref="C37 T37 L37 AB37 AJ37 AR37 AZ37 BI37:XFD37">
    <cfRule type="cellIs" dxfId="381" priority="420" operator="greaterThan">
      <formula>$C$37</formula>
    </cfRule>
  </conditionalFormatting>
  <conditionalFormatting sqref="C38 T38 L38 AB38 AJ38 AR38 AZ38 BH38:XFD38">
    <cfRule type="cellIs" dxfId="380" priority="419" operator="greaterThan">
      <formula>$C$38</formula>
    </cfRule>
  </conditionalFormatting>
  <conditionalFormatting sqref="C39:C40 T39:T40 L39:L40 AB39:AB40 AJ39:AJ40 AR39:AR40 AZ39:AZ40 BH39:XFD40">
    <cfRule type="cellIs" dxfId="379" priority="418" operator="greaterThan">
      <formula>$C$39</formula>
    </cfRule>
  </conditionalFormatting>
  <conditionalFormatting sqref="C41 T41:T45 L41:L45 AB41:AB45 AJ41:AJ45 AR41:AR45 AZ41:AZ45 BH41:XFD45">
    <cfRule type="cellIs" dxfId="378" priority="417" operator="greaterThan">
      <formula>$C$41</formula>
    </cfRule>
  </conditionalFormatting>
  <conditionalFormatting sqref="C53 T53 T30 L53 L30 AB30 AB53 AJ53 AJ30 AR53 AR30 AZ30 AZ53 BH53:XFD53 BH30:XFD30">
    <cfRule type="cellIs" dxfId="377" priority="416" operator="greaterThan">
      <formula>$C$53</formula>
    </cfRule>
  </conditionalFormatting>
  <conditionalFormatting sqref="C50 T50 L50 AB50 AJ50 AR50 AZ50 BH50:XFD50">
    <cfRule type="cellIs" dxfId="376" priority="415" operator="greaterThan">
      <formula>$C$50</formula>
    </cfRule>
  </conditionalFormatting>
  <conditionalFormatting sqref="C52 L29:L30 L46 T52:T53 T46 T29:T30 L52:L53 AB29:AB30 AB46 AB52:AB53 AJ52:AJ53 AJ46 AJ29:AJ30 AR52:AR53 AR46 AR29:AR30 AZ29:AZ30 AZ46 AZ52:AZ53 BH52:XFD53 BH46:XFD46 BH29:XFD30">
    <cfRule type="cellIs" dxfId="375" priority="414" operator="greaterThan">
      <formula>$C$52</formula>
    </cfRule>
  </conditionalFormatting>
  <conditionalFormatting sqref="C55 T55 T32 L55 AB32 AB55 AJ55 AJ32 AR55 AR32 AZ32 AZ55 BH55:XFD55 BH32:XFD32">
    <cfRule type="cellIs" dxfId="374" priority="413" operator="greaterThan">
      <formula>$C$55</formula>
    </cfRule>
  </conditionalFormatting>
  <conditionalFormatting sqref="C56 T56 T33 L56 AB33 AB56 AJ56 AJ33 AR56 AR33 AZ33 AZ56 BH56:XFD56 BH33:XFD33">
    <cfRule type="cellIs" dxfId="373" priority="412" operator="greaterThan">
      <formula>$C$56</formula>
    </cfRule>
  </conditionalFormatting>
  <conditionalFormatting sqref="C57 T57 L57 AB57 AJ57 AR57 AZ57 BH57:XFD57 D5:D33 D35:D46 D48:D57">
    <cfRule type="cellIs" dxfId="372" priority="411" operator="greaterThan">
      <formula>$C$57</formula>
    </cfRule>
  </conditionalFormatting>
  <conditionalFormatting sqref="L32">
    <cfRule type="cellIs" dxfId="371" priority="344" operator="greaterThan">
      <formula>$C$55</formula>
    </cfRule>
  </conditionalFormatting>
  <conditionalFormatting sqref="L33">
    <cfRule type="cellIs" dxfId="370" priority="343" operator="greaterThan">
      <formula>$C$56</formula>
    </cfRule>
  </conditionalFormatting>
  <conditionalFormatting sqref="T35 L35 AB35 AJ35 AR35 AZ35 BH35:XFD35">
    <cfRule type="cellIs" dxfId="369" priority="555" operator="greaterThan">
      <formula>#REF!</formula>
    </cfRule>
  </conditionalFormatting>
  <conditionalFormatting sqref="D3">
    <cfRule type="cellIs" dxfId="368" priority="311" operator="greaterThan">
      <formula>$C$57</formula>
    </cfRule>
  </conditionalFormatting>
  <conditionalFormatting sqref="C20:T20">
    <cfRule type="cellIs" dxfId="367" priority="310" operator="greaterThan">
      <formula>$C$20</formula>
    </cfRule>
  </conditionalFormatting>
  <conditionalFormatting sqref="M20:S20 BD20:BG20">
    <cfRule type="cellIs" dxfId="366" priority="309" operator="lessThan">
      <formula>$C$20</formula>
    </cfRule>
  </conditionalFormatting>
  <conditionalFormatting sqref="M23:S23">
    <cfRule type="cellIs" dxfId="365" priority="307" operator="lessThan">
      <formula>$C$23</formula>
    </cfRule>
    <cfRule type="cellIs" dxfId="364" priority="308" operator="greaterThan">
      <formula>$C$23</formula>
    </cfRule>
  </conditionalFormatting>
  <conditionalFormatting sqref="M37:S37">
    <cfRule type="cellIs" dxfId="363" priority="305" operator="lessThan">
      <formula>$C$37</formula>
    </cfRule>
    <cfRule type="cellIs" dxfId="362" priority="306" operator="greaterThan">
      <formula>$C$37</formula>
    </cfRule>
  </conditionalFormatting>
  <conditionalFormatting sqref="M38:S38">
    <cfRule type="cellIs" dxfId="361" priority="303" operator="lessThan">
      <formula>$C$38</formula>
    </cfRule>
    <cfRule type="cellIs" dxfId="360" priority="304" operator="greaterThan">
      <formula>$C$38</formula>
    </cfRule>
  </conditionalFormatting>
  <conditionalFormatting sqref="M39:S39">
    <cfRule type="cellIs" dxfId="359" priority="301" operator="lessThan">
      <formula>3.8</formula>
    </cfRule>
    <cfRule type="cellIs" dxfId="358" priority="302" operator="greaterThan">
      <formula>$C$39</formula>
    </cfRule>
  </conditionalFormatting>
  <conditionalFormatting sqref="M41:S41">
    <cfRule type="cellIs" dxfId="357" priority="299" operator="lessThan">
      <formula>$C$41</formula>
    </cfRule>
    <cfRule type="cellIs" dxfId="356" priority="300" operator="greaterThan">
      <formula>$C$41</formula>
    </cfRule>
  </conditionalFormatting>
  <conditionalFormatting sqref="M32:S32">
    <cfRule type="cellIs" dxfId="355" priority="297" operator="lessThan">
      <formula>$C$32</formula>
    </cfRule>
    <cfRule type="cellIs" dxfId="354" priority="298" operator="greaterThan">
      <formula>$C$32</formula>
    </cfRule>
  </conditionalFormatting>
  <conditionalFormatting sqref="M33:S33">
    <cfRule type="cellIs" dxfId="353" priority="295" operator="lessThan">
      <formula>$C$33</formula>
    </cfRule>
    <cfRule type="cellIs" dxfId="352" priority="296" operator="greaterThan">
      <formula>$C$33</formula>
    </cfRule>
  </conditionalFormatting>
  <conditionalFormatting sqref="M35:S35">
    <cfRule type="cellIs" dxfId="351" priority="291" operator="lessThan">
      <formula>$C$35</formula>
    </cfRule>
    <cfRule type="cellIs" dxfId="350" priority="292" operator="greaterThan">
      <formula>$C$35</formula>
    </cfRule>
  </conditionalFormatting>
  <conditionalFormatting sqref="M21:S21 BD21:BG21">
    <cfRule type="cellIs" dxfId="349" priority="287" operator="lessThan">
      <formula>$C$21</formula>
    </cfRule>
    <cfRule type="cellIs" dxfId="348" priority="288" operator="greaterThan">
      <formula>$C$21</formula>
    </cfRule>
  </conditionalFormatting>
  <conditionalFormatting sqref="M27:S27">
    <cfRule type="cellIs" dxfId="347" priority="283" operator="lessThan">
      <formula>$C$27</formula>
    </cfRule>
    <cfRule type="cellIs" dxfId="346" priority="284" operator="greaterThan">
      <formula>$C$27</formula>
    </cfRule>
  </conditionalFormatting>
  <conditionalFormatting sqref="M40:S40">
    <cfRule type="cellIs" dxfId="345" priority="281" operator="lessThan">
      <formula>$C$40</formula>
    </cfRule>
    <cfRule type="cellIs" dxfId="344" priority="282" operator="greaterThan">
      <formula>$C$40</formula>
    </cfRule>
  </conditionalFormatting>
  <conditionalFormatting sqref="M22:S22 BD22:BG22">
    <cfRule type="cellIs" dxfId="343" priority="279" operator="lessThan">
      <formula>$C$22</formula>
    </cfRule>
    <cfRule type="cellIs" dxfId="342" priority="280" operator="greaterThan">
      <formula>$C$22</formula>
    </cfRule>
  </conditionalFormatting>
  <conditionalFormatting sqref="M24:S24">
    <cfRule type="cellIs" dxfId="341" priority="277" operator="lessThan">
      <formula>$C$24</formula>
    </cfRule>
    <cfRule type="cellIs" dxfId="340" priority="278" operator="greaterThan">
      <formula>$C$24</formula>
    </cfRule>
  </conditionalFormatting>
  <conditionalFormatting sqref="M25:S25">
    <cfRule type="cellIs" dxfId="339" priority="275" operator="lessThan">
      <formula>$C$25</formula>
    </cfRule>
    <cfRule type="cellIs" dxfId="338" priority="276" operator="greaterThan">
      <formula>$C$25</formula>
    </cfRule>
  </conditionalFormatting>
  <conditionalFormatting sqref="M26:S26">
    <cfRule type="cellIs" dxfId="337" priority="273" operator="lessThan">
      <formula>$C$26</formula>
    </cfRule>
    <cfRule type="cellIs" dxfId="336" priority="274" operator="greaterThan">
      <formula>$C$26</formula>
    </cfRule>
  </conditionalFormatting>
  <conditionalFormatting sqref="M30:S30">
    <cfRule type="cellIs" dxfId="335" priority="271" operator="lessThan">
      <formula>$C$30</formula>
    </cfRule>
    <cfRule type="cellIs" dxfId="334" priority="272" operator="greaterThan">
      <formula>$C$30</formula>
    </cfRule>
  </conditionalFormatting>
  <conditionalFormatting sqref="U30:AA30">
    <cfRule type="cellIs" dxfId="333" priority="195" operator="lessThan">
      <formula>$C$30</formula>
    </cfRule>
    <cfRule type="cellIs" dxfId="332" priority="196" operator="greaterThan">
      <formula>$C$30</formula>
    </cfRule>
  </conditionalFormatting>
  <conditionalFormatting sqref="U20:AA20">
    <cfRule type="cellIs" dxfId="331" priority="232" operator="greaterThan">
      <formula>$C$20</formula>
    </cfRule>
  </conditionalFormatting>
  <conditionalFormatting sqref="U20:AA20">
    <cfRule type="cellIs" dxfId="330" priority="231" operator="lessThan">
      <formula>$C$20</formula>
    </cfRule>
  </conditionalFormatting>
  <conditionalFormatting sqref="U23:AA23">
    <cfRule type="cellIs" dxfId="329" priority="229" operator="lessThan">
      <formula>$C$23</formula>
    </cfRule>
    <cfRule type="cellIs" dxfId="328" priority="230" operator="greaterThan">
      <formula>$C$23</formula>
    </cfRule>
  </conditionalFormatting>
  <conditionalFormatting sqref="U37:AA37">
    <cfRule type="cellIs" dxfId="327" priority="227" operator="lessThan">
      <formula>$C$37</formula>
    </cfRule>
    <cfRule type="cellIs" dxfId="326" priority="228" operator="greaterThan">
      <formula>$C$37</formula>
    </cfRule>
  </conditionalFormatting>
  <conditionalFormatting sqref="U38:AA38">
    <cfRule type="cellIs" dxfId="325" priority="225" operator="lessThan">
      <formula>$C$38</formula>
    </cfRule>
    <cfRule type="cellIs" dxfId="324" priority="226" operator="greaterThan">
      <formula>$C$38</formula>
    </cfRule>
  </conditionalFormatting>
  <conditionalFormatting sqref="U39:AA39">
    <cfRule type="cellIs" dxfId="323" priority="223" operator="lessThan">
      <formula>3.8</formula>
    </cfRule>
    <cfRule type="cellIs" dxfId="322" priority="224" operator="greaterThan">
      <formula>$C$39</formula>
    </cfRule>
  </conditionalFormatting>
  <conditionalFormatting sqref="U41:AA41">
    <cfRule type="cellIs" dxfId="321" priority="221" operator="lessThan">
      <formula>$C$41</formula>
    </cfRule>
    <cfRule type="cellIs" dxfId="320" priority="222" operator="greaterThan">
      <formula>$C$41</formula>
    </cfRule>
  </conditionalFormatting>
  <conditionalFormatting sqref="U32:AA32">
    <cfRule type="cellIs" dxfId="319" priority="219" operator="lessThan">
      <formula>$C$32</formula>
    </cfRule>
    <cfRule type="cellIs" dxfId="318" priority="220" operator="greaterThan">
      <formula>$C$32</formula>
    </cfRule>
  </conditionalFormatting>
  <conditionalFormatting sqref="U33:AA33">
    <cfRule type="cellIs" dxfId="317" priority="217" operator="lessThan">
      <formula>$C$33</formula>
    </cfRule>
    <cfRule type="cellIs" dxfId="316" priority="218" operator="greaterThan">
      <formula>$C$33</formula>
    </cfRule>
  </conditionalFormatting>
  <conditionalFormatting sqref="U35:AA35">
    <cfRule type="cellIs" dxfId="315" priority="213" operator="lessThan">
      <formula>$C$35</formula>
    </cfRule>
    <cfRule type="cellIs" dxfId="314" priority="214" operator="greaterThan">
      <formula>$C$35</formula>
    </cfRule>
  </conditionalFormatting>
  <conditionalFormatting sqref="U21:AA21">
    <cfRule type="cellIs" dxfId="313" priority="209" operator="lessThan">
      <formula>$C$21</formula>
    </cfRule>
    <cfRule type="cellIs" dxfId="312" priority="210" operator="greaterThan">
      <formula>$C$21</formula>
    </cfRule>
  </conditionalFormatting>
  <conditionalFormatting sqref="U27:AA27">
    <cfRule type="cellIs" dxfId="311" priority="207" operator="lessThan">
      <formula>$C$27</formula>
    </cfRule>
    <cfRule type="cellIs" dxfId="310" priority="208" operator="greaterThan">
      <formula>$C$27</formula>
    </cfRule>
  </conditionalFormatting>
  <conditionalFormatting sqref="U40:AA40">
    <cfRule type="cellIs" dxfId="309" priority="205" operator="lessThan">
      <formula>$C$40</formula>
    </cfRule>
    <cfRule type="cellIs" dxfId="308" priority="206" operator="greaterThan">
      <formula>$C$40</formula>
    </cfRule>
  </conditionalFormatting>
  <conditionalFormatting sqref="U22:AA22">
    <cfRule type="cellIs" dxfId="307" priority="203" operator="lessThan">
      <formula>$C$22</formula>
    </cfRule>
    <cfRule type="cellIs" dxfId="306" priority="204" operator="greaterThan">
      <formula>$C$22</formula>
    </cfRule>
  </conditionalFormatting>
  <conditionalFormatting sqref="U24:AA24">
    <cfRule type="cellIs" dxfId="305" priority="201" operator="lessThan">
      <formula>$C$24</formula>
    </cfRule>
    <cfRule type="cellIs" dxfId="304" priority="202" operator="greaterThan">
      <formula>$C$24</formula>
    </cfRule>
  </conditionalFormatting>
  <conditionalFormatting sqref="U25:AA25">
    <cfRule type="cellIs" dxfId="303" priority="199" operator="lessThan">
      <formula>$C$25</formula>
    </cfRule>
    <cfRule type="cellIs" dxfId="302" priority="200" operator="greaterThan">
      <formula>$C$25</formula>
    </cfRule>
  </conditionalFormatting>
  <conditionalFormatting sqref="U26:AA26">
    <cfRule type="cellIs" dxfId="301" priority="197" operator="lessThan">
      <formula>$C$26</formula>
    </cfRule>
    <cfRule type="cellIs" dxfId="300" priority="198" operator="greaterThan">
      <formula>$C$26</formula>
    </cfRule>
  </conditionalFormatting>
  <conditionalFormatting sqref="M31:S31 U31:AA31">
    <cfRule type="cellIs" dxfId="299" priority="194" operator="lessThan">
      <formula>200</formula>
    </cfRule>
  </conditionalFormatting>
  <conditionalFormatting sqref="N31">
    <cfRule type="cellIs" dxfId="298" priority="193" operator="greaterThan">
      <formula>200</formula>
    </cfRule>
  </conditionalFormatting>
  <conditionalFormatting sqref="D4">
    <cfRule type="cellIs" dxfId="297" priority="192" operator="greaterThan">
      <formula>$C$57</formula>
    </cfRule>
  </conditionalFormatting>
  <conditionalFormatting sqref="AC30:AI30">
    <cfRule type="cellIs" dxfId="296" priority="154" operator="lessThan">
      <formula>$C$30</formula>
    </cfRule>
    <cfRule type="cellIs" dxfId="295" priority="155" operator="greaterThan">
      <formula>$C$30</formula>
    </cfRule>
  </conditionalFormatting>
  <conditionalFormatting sqref="AC20:AI20">
    <cfRule type="cellIs" dxfId="294" priority="191" operator="greaterThan">
      <formula>$C$20</formula>
    </cfRule>
  </conditionalFormatting>
  <conditionalFormatting sqref="AC20:AI20">
    <cfRule type="cellIs" dxfId="293" priority="190" operator="lessThan">
      <formula>$C$20</formula>
    </cfRule>
  </conditionalFormatting>
  <conditionalFormatting sqref="AC23:AI23">
    <cfRule type="cellIs" dxfId="292" priority="188" operator="lessThan">
      <formula>$C$23</formula>
    </cfRule>
    <cfRule type="cellIs" dxfId="291" priority="189" operator="greaterThan">
      <formula>$C$23</formula>
    </cfRule>
  </conditionalFormatting>
  <conditionalFormatting sqref="AC37:AI37">
    <cfRule type="cellIs" dxfId="290" priority="186" operator="lessThan">
      <formula>$C$37</formula>
    </cfRule>
    <cfRule type="cellIs" dxfId="289" priority="187" operator="greaterThan">
      <formula>$C$37</formula>
    </cfRule>
  </conditionalFormatting>
  <conditionalFormatting sqref="AC38:AI38">
    <cfRule type="cellIs" dxfId="288" priority="184" operator="lessThan">
      <formula>$C$38</formula>
    </cfRule>
    <cfRule type="cellIs" dxfId="287" priority="185" operator="greaterThan">
      <formula>$C$38</formula>
    </cfRule>
  </conditionalFormatting>
  <conditionalFormatting sqref="AC39:AI39">
    <cfRule type="cellIs" dxfId="286" priority="182" operator="lessThan">
      <formula>3.8</formula>
    </cfRule>
    <cfRule type="cellIs" dxfId="285" priority="183" operator="greaterThan">
      <formula>$C$39</formula>
    </cfRule>
  </conditionalFormatting>
  <conditionalFormatting sqref="AC41:AI41">
    <cfRule type="cellIs" dxfId="284" priority="180" operator="lessThan">
      <formula>$C$41</formula>
    </cfRule>
    <cfRule type="cellIs" dxfId="283" priority="181" operator="greaterThan">
      <formula>$C$41</formula>
    </cfRule>
  </conditionalFormatting>
  <conditionalFormatting sqref="AC32:AI32">
    <cfRule type="cellIs" dxfId="282" priority="178" operator="lessThan">
      <formula>$C$32</formula>
    </cfRule>
    <cfRule type="cellIs" dxfId="281" priority="179" operator="greaterThan">
      <formula>$C$32</formula>
    </cfRule>
  </conditionalFormatting>
  <conditionalFormatting sqref="AC33:AI33">
    <cfRule type="cellIs" dxfId="280" priority="176" operator="lessThan">
      <formula>$C$33</formula>
    </cfRule>
    <cfRule type="cellIs" dxfId="279" priority="177" operator="greaterThan">
      <formula>$C$33</formula>
    </cfRule>
  </conditionalFormatting>
  <conditionalFormatting sqref="AC35:AI35">
    <cfRule type="cellIs" dxfId="278" priority="172" operator="lessThan">
      <formula>$C$35</formula>
    </cfRule>
    <cfRule type="cellIs" dxfId="277" priority="173" operator="greaterThan">
      <formula>$C$35</formula>
    </cfRule>
  </conditionalFormatting>
  <conditionalFormatting sqref="AC21:AI21">
    <cfRule type="cellIs" dxfId="276" priority="168" operator="lessThan">
      <formula>$C$21</formula>
    </cfRule>
    <cfRule type="cellIs" dxfId="275" priority="169" operator="greaterThan">
      <formula>$C$21</formula>
    </cfRule>
  </conditionalFormatting>
  <conditionalFormatting sqref="AC27:AI27">
    <cfRule type="cellIs" dxfId="274" priority="166" operator="lessThan">
      <formula>$C$27</formula>
    </cfRule>
    <cfRule type="cellIs" dxfId="273" priority="167" operator="greaterThan">
      <formula>$C$27</formula>
    </cfRule>
  </conditionalFormatting>
  <conditionalFormatting sqref="AC40:AI40">
    <cfRule type="cellIs" dxfId="272" priority="164" operator="lessThan">
      <formula>$C$40</formula>
    </cfRule>
    <cfRule type="cellIs" dxfId="271" priority="165" operator="greaterThan">
      <formula>$C$40</formula>
    </cfRule>
  </conditionalFormatting>
  <conditionalFormatting sqref="AC22:AI22">
    <cfRule type="cellIs" dxfId="270" priority="162" operator="lessThan">
      <formula>$C$22</formula>
    </cfRule>
    <cfRule type="cellIs" dxfId="269" priority="163" operator="greaterThan">
      <formula>$C$22</formula>
    </cfRule>
  </conditionalFormatting>
  <conditionalFormatting sqref="AC24:AI24">
    <cfRule type="cellIs" dxfId="268" priority="160" operator="lessThan">
      <formula>$C$24</formula>
    </cfRule>
    <cfRule type="cellIs" dxfId="267" priority="161" operator="greaterThan">
      <formula>$C$24</formula>
    </cfRule>
  </conditionalFormatting>
  <conditionalFormatting sqref="AC25:AI25">
    <cfRule type="cellIs" dxfId="266" priority="158" operator="lessThan">
      <formula>$C$25</formula>
    </cfRule>
    <cfRule type="cellIs" dxfId="265" priority="159" operator="greaterThan">
      <formula>$C$25</formula>
    </cfRule>
  </conditionalFormatting>
  <conditionalFormatting sqref="AC26:AI26">
    <cfRule type="cellIs" dxfId="264" priority="156" operator="lessThan">
      <formula>$C$26</formula>
    </cfRule>
    <cfRule type="cellIs" dxfId="263" priority="157" operator="greaterThan">
      <formula>$C$26</formula>
    </cfRule>
  </conditionalFormatting>
  <conditionalFormatting sqref="AK30:AQ30">
    <cfRule type="cellIs" dxfId="262" priority="117" operator="lessThan">
      <formula>$C$30</formula>
    </cfRule>
    <cfRule type="cellIs" dxfId="261" priority="118" operator="greaterThan">
      <formula>$C$30</formula>
    </cfRule>
  </conditionalFormatting>
  <conditionalFormatting sqref="AK20:AQ20">
    <cfRule type="cellIs" dxfId="260" priority="150" operator="greaterThan">
      <formula>$C$20</formula>
    </cfRule>
  </conditionalFormatting>
  <conditionalFormatting sqref="AK20:AQ20">
    <cfRule type="cellIs" dxfId="259" priority="149" operator="lessThan">
      <formula>$C$20</formula>
    </cfRule>
  </conditionalFormatting>
  <conditionalFormatting sqref="AK23:AQ23">
    <cfRule type="cellIs" dxfId="258" priority="147" operator="lessThan">
      <formula>$C$23</formula>
    </cfRule>
    <cfRule type="cellIs" dxfId="257" priority="148" operator="greaterThan">
      <formula>$C$23</formula>
    </cfRule>
  </conditionalFormatting>
  <conditionalFormatting sqref="AK37:AQ37">
    <cfRule type="cellIs" dxfId="256" priority="145" operator="lessThan">
      <formula>$C$37</formula>
    </cfRule>
    <cfRule type="cellIs" dxfId="255" priority="146" operator="greaterThan">
      <formula>$C$37</formula>
    </cfRule>
  </conditionalFormatting>
  <conditionalFormatting sqref="AK38:AQ38">
    <cfRule type="cellIs" dxfId="254" priority="143" operator="lessThan">
      <formula>$C$38</formula>
    </cfRule>
    <cfRule type="cellIs" dxfId="253" priority="144" operator="greaterThan">
      <formula>$C$38</formula>
    </cfRule>
  </conditionalFormatting>
  <conditionalFormatting sqref="AK39:AQ39">
    <cfRule type="cellIs" dxfId="252" priority="141" operator="lessThan">
      <formula>3.8</formula>
    </cfRule>
    <cfRule type="cellIs" dxfId="251" priority="142" operator="greaterThan">
      <formula>$C$39</formula>
    </cfRule>
  </conditionalFormatting>
  <conditionalFormatting sqref="AK41:AQ41">
    <cfRule type="cellIs" dxfId="250" priority="139" operator="lessThan">
      <formula>$C$41</formula>
    </cfRule>
    <cfRule type="cellIs" dxfId="249" priority="140" operator="greaterThan">
      <formula>$C$41</formula>
    </cfRule>
  </conditionalFormatting>
  <conditionalFormatting sqref="AK32:AQ32">
    <cfRule type="cellIs" dxfId="248" priority="137" operator="lessThan">
      <formula>$C$32</formula>
    </cfRule>
    <cfRule type="cellIs" dxfId="247" priority="138" operator="greaterThan">
      <formula>$C$32</formula>
    </cfRule>
  </conditionalFormatting>
  <conditionalFormatting sqref="AK33:AQ33">
    <cfRule type="cellIs" dxfId="246" priority="135" operator="lessThan">
      <formula>$C$33</formula>
    </cfRule>
    <cfRule type="cellIs" dxfId="245" priority="136" operator="greaterThan">
      <formula>$C$33</formula>
    </cfRule>
  </conditionalFormatting>
  <conditionalFormatting sqref="AK35:AQ35">
    <cfRule type="cellIs" dxfId="244" priority="133" operator="lessThan">
      <formula>$C$35</formula>
    </cfRule>
    <cfRule type="cellIs" dxfId="243" priority="134" operator="greaterThan">
      <formula>$C$35</formula>
    </cfRule>
  </conditionalFormatting>
  <conditionalFormatting sqref="AK21:AQ21">
    <cfRule type="cellIs" dxfId="242" priority="131" operator="lessThan">
      <formula>$C$21</formula>
    </cfRule>
    <cfRule type="cellIs" dxfId="241" priority="132" operator="greaterThan">
      <formula>$C$21</formula>
    </cfRule>
  </conditionalFormatting>
  <conditionalFormatting sqref="AK27:AQ27">
    <cfRule type="cellIs" dxfId="240" priority="129" operator="lessThan">
      <formula>$C$27</formula>
    </cfRule>
    <cfRule type="cellIs" dxfId="239" priority="130" operator="greaterThan">
      <formula>$C$27</formula>
    </cfRule>
  </conditionalFormatting>
  <conditionalFormatting sqref="AK40:AQ40">
    <cfRule type="cellIs" dxfId="238" priority="127" operator="lessThan">
      <formula>$C$40</formula>
    </cfRule>
    <cfRule type="cellIs" dxfId="237" priority="128" operator="greaterThan">
      <formula>$C$40</formula>
    </cfRule>
  </conditionalFormatting>
  <conditionalFormatting sqref="AK22:AQ22">
    <cfRule type="cellIs" dxfId="236" priority="125" operator="lessThan">
      <formula>$C$22</formula>
    </cfRule>
    <cfRule type="cellIs" dxfId="235" priority="126" operator="greaterThan">
      <formula>$C$22</formula>
    </cfRule>
  </conditionalFormatting>
  <conditionalFormatting sqref="AK24:AQ24">
    <cfRule type="cellIs" dxfId="234" priority="123" operator="lessThan">
      <formula>$C$24</formula>
    </cfRule>
    <cfRule type="cellIs" dxfId="233" priority="124" operator="greaterThan">
      <formula>$C$24</formula>
    </cfRule>
  </conditionalFormatting>
  <conditionalFormatting sqref="AK25:AQ25">
    <cfRule type="cellIs" dxfId="232" priority="121" operator="lessThan">
      <formula>$C$25</formula>
    </cfRule>
    <cfRule type="cellIs" dxfId="231" priority="122" operator="greaterThan">
      <formula>$C$25</formula>
    </cfRule>
  </conditionalFormatting>
  <conditionalFormatting sqref="AK26:AQ26">
    <cfRule type="cellIs" dxfId="230" priority="119" operator="lessThan">
      <formula>$C$26</formula>
    </cfRule>
    <cfRule type="cellIs" dxfId="229" priority="120" operator="greaterThan">
      <formula>$C$26</formula>
    </cfRule>
  </conditionalFormatting>
  <conditionalFormatting sqref="AS30:AY30">
    <cfRule type="cellIs" dxfId="228" priority="47" operator="lessThan">
      <formula>$C$30</formula>
    </cfRule>
    <cfRule type="cellIs" dxfId="227" priority="48" operator="greaterThan">
      <formula>$C$30</formula>
    </cfRule>
  </conditionalFormatting>
  <conditionalFormatting sqref="AS20:AY20">
    <cfRule type="cellIs" dxfId="226" priority="80" operator="greaterThan">
      <formula>$C$20</formula>
    </cfRule>
  </conditionalFormatting>
  <conditionalFormatting sqref="AS20:AY20">
    <cfRule type="cellIs" dxfId="225" priority="79" operator="lessThan">
      <formula>$C$20</formula>
    </cfRule>
  </conditionalFormatting>
  <conditionalFormatting sqref="AS23:AY23">
    <cfRule type="cellIs" dxfId="224" priority="77" operator="lessThan">
      <formula>$C$23</formula>
    </cfRule>
    <cfRule type="cellIs" dxfId="223" priority="78" operator="greaterThan">
      <formula>$C$23</formula>
    </cfRule>
  </conditionalFormatting>
  <conditionalFormatting sqref="AS37:AY37">
    <cfRule type="cellIs" dxfId="222" priority="75" operator="lessThan">
      <formula>$C$37</formula>
    </cfRule>
    <cfRule type="cellIs" dxfId="221" priority="76" operator="greaterThan">
      <formula>$C$37</formula>
    </cfRule>
  </conditionalFormatting>
  <conditionalFormatting sqref="AS38:AY38">
    <cfRule type="cellIs" dxfId="220" priority="73" operator="lessThan">
      <formula>$C$38</formula>
    </cfRule>
    <cfRule type="cellIs" dxfId="219" priority="74" operator="greaterThan">
      <formula>$C$38</formula>
    </cfRule>
  </conditionalFormatting>
  <conditionalFormatting sqref="AS39:AY39">
    <cfRule type="cellIs" dxfId="218" priority="71" operator="lessThan">
      <formula>3.8</formula>
    </cfRule>
    <cfRule type="cellIs" dxfId="217" priority="72" operator="greaterThan">
      <formula>$C$39</formula>
    </cfRule>
  </conditionalFormatting>
  <conditionalFormatting sqref="AS41:AY41">
    <cfRule type="cellIs" dxfId="216" priority="69" operator="lessThan">
      <formula>$C$41</formula>
    </cfRule>
    <cfRule type="cellIs" dxfId="215" priority="70" operator="greaterThan">
      <formula>$C$41</formula>
    </cfRule>
  </conditionalFormatting>
  <conditionalFormatting sqref="AS32:AY32">
    <cfRule type="cellIs" dxfId="214" priority="67" operator="lessThan">
      <formula>$C$32</formula>
    </cfRule>
    <cfRule type="cellIs" dxfId="213" priority="68" operator="greaterThan">
      <formula>$C$32</formula>
    </cfRule>
  </conditionalFormatting>
  <conditionalFormatting sqref="AS33:AY33">
    <cfRule type="cellIs" dxfId="212" priority="65" operator="lessThan">
      <formula>$C$33</formula>
    </cfRule>
    <cfRule type="cellIs" dxfId="211" priority="66" operator="greaterThan">
      <formula>$C$33</formula>
    </cfRule>
  </conditionalFormatting>
  <conditionalFormatting sqref="AS35:AY35">
    <cfRule type="cellIs" dxfId="210" priority="63" operator="lessThan">
      <formula>$C$35</formula>
    </cfRule>
    <cfRule type="cellIs" dxfId="209" priority="64" operator="greaterThan">
      <formula>$C$35</formula>
    </cfRule>
  </conditionalFormatting>
  <conditionalFormatting sqref="AS21:AY21">
    <cfRule type="cellIs" dxfId="208" priority="61" operator="lessThan">
      <formula>$C$21</formula>
    </cfRule>
    <cfRule type="cellIs" dxfId="207" priority="62" operator="greaterThan">
      <formula>$C$21</formula>
    </cfRule>
  </conditionalFormatting>
  <conditionalFormatting sqref="AS27:AY27">
    <cfRule type="cellIs" dxfId="206" priority="59" operator="lessThan">
      <formula>$C$27</formula>
    </cfRule>
    <cfRule type="cellIs" dxfId="205" priority="60" operator="greaterThan">
      <formula>$C$27</formula>
    </cfRule>
  </conditionalFormatting>
  <conditionalFormatting sqref="AS40:AY40">
    <cfRule type="cellIs" dxfId="204" priority="57" operator="lessThan">
      <formula>$C$40</formula>
    </cfRule>
    <cfRule type="cellIs" dxfId="203" priority="58" operator="greaterThan">
      <formula>$C$40</formula>
    </cfRule>
  </conditionalFormatting>
  <conditionalFormatting sqref="AS22:AY22">
    <cfRule type="cellIs" dxfId="202" priority="55" operator="lessThan">
      <formula>$C$22</formula>
    </cfRule>
    <cfRule type="cellIs" dxfId="201" priority="56" operator="greaterThan">
      <formula>$C$22</formula>
    </cfRule>
  </conditionalFormatting>
  <conditionalFormatting sqref="AS24:AY24">
    <cfRule type="cellIs" dxfId="200" priority="53" operator="lessThan">
      <formula>$C$24</formula>
    </cfRule>
    <cfRule type="cellIs" dxfId="199" priority="54" operator="greaterThan">
      <formula>$C$24</formula>
    </cfRule>
  </conditionalFormatting>
  <conditionalFormatting sqref="AS25:AY25">
    <cfRule type="cellIs" dxfId="198" priority="51" operator="lessThan">
      <formula>$C$25</formula>
    </cfRule>
    <cfRule type="cellIs" dxfId="197" priority="52" operator="greaterThan">
      <formula>$C$25</formula>
    </cfRule>
  </conditionalFormatting>
  <conditionalFormatting sqref="AS26:AY26">
    <cfRule type="cellIs" dxfId="196" priority="49" operator="lessThan">
      <formula>$C$26</formula>
    </cfRule>
    <cfRule type="cellIs" dxfId="195" priority="50" operator="greaterThan">
      <formula>$C$26</formula>
    </cfRule>
  </conditionalFormatting>
  <conditionalFormatting sqref="BA30:BG30">
    <cfRule type="cellIs" dxfId="194" priority="13" operator="lessThan">
      <formula>$C$30</formula>
    </cfRule>
    <cfRule type="cellIs" dxfId="193" priority="14" operator="greaterThan">
      <formula>$C$30</formula>
    </cfRule>
  </conditionalFormatting>
  <conditionalFormatting sqref="BA20">
    <cfRule type="cellIs" dxfId="192" priority="46" operator="greaterThan">
      <formula>$C$20</formula>
    </cfRule>
  </conditionalFormatting>
  <conditionalFormatting sqref="BA20">
    <cfRule type="cellIs" dxfId="191" priority="45" operator="lessThan">
      <formula>$C$20</formula>
    </cfRule>
  </conditionalFormatting>
  <conditionalFormatting sqref="BA23:BG23">
    <cfRule type="cellIs" dxfId="190" priority="43" operator="lessThan">
      <formula>$C$23</formula>
    </cfRule>
    <cfRule type="cellIs" dxfId="189" priority="44" operator="greaterThan">
      <formula>$C$23</formula>
    </cfRule>
  </conditionalFormatting>
  <conditionalFormatting sqref="BA37:BG37">
    <cfRule type="cellIs" dxfId="188" priority="41" operator="lessThan">
      <formula>$C$37</formula>
    </cfRule>
    <cfRule type="cellIs" dxfId="187" priority="42" operator="greaterThan">
      <formula>$C$37</formula>
    </cfRule>
  </conditionalFormatting>
  <conditionalFormatting sqref="BA38:BG38">
    <cfRule type="cellIs" dxfId="186" priority="39" operator="lessThan">
      <formula>$C$38</formula>
    </cfRule>
    <cfRule type="cellIs" dxfId="185" priority="40" operator="greaterThan">
      <formula>$C$38</formula>
    </cfRule>
  </conditionalFormatting>
  <conditionalFormatting sqref="BA39:BG39">
    <cfRule type="cellIs" dxfId="184" priority="37" operator="lessThan">
      <formula>3.8</formula>
    </cfRule>
    <cfRule type="cellIs" dxfId="183" priority="38" operator="greaterThan">
      <formula>$C$39</formula>
    </cfRule>
  </conditionalFormatting>
  <conditionalFormatting sqref="BA41:BG41">
    <cfRule type="cellIs" dxfId="182" priority="35" operator="lessThan">
      <formula>$C$41</formula>
    </cfRule>
    <cfRule type="cellIs" dxfId="181" priority="36" operator="greaterThan">
      <formula>$C$41</formula>
    </cfRule>
  </conditionalFormatting>
  <conditionalFormatting sqref="BA32:BG32">
    <cfRule type="cellIs" dxfId="180" priority="33" operator="lessThan">
      <formula>$C$32</formula>
    </cfRule>
    <cfRule type="cellIs" dxfId="179" priority="34" operator="greaterThan">
      <formula>$C$32</formula>
    </cfRule>
  </conditionalFormatting>
  <conditionalFormatting sqref="BA33:BG33">
    <cfRule type="cellIs" dxfId="178" priority="31" operator="lessThan">
      <formula>$C$33</formula>
    </cfRule>
    <cfRule type="cellIs" dxfId="177" priority="32" operator="greaterThan">
      <formula>$C$33</formula>
    </cfRule>
  </conditionalFormatting>
  <conditionalFormatting sqref="BA35:BG35">
    <cfRule type="cellIs" dxfId="176" priority="29" operator="lessThan">
      <formula>$C$35</formula>
    </cfRule>
    <cfRule type="cellIs" dxfId="175" priority="30" operator="greaterThan">
      <formula>$C$35</formula>
    </cfRule>
  </conditionalFormatting>
  <conditionalFormatting sqref="BA21">
    <cfRule type="cellIs" dxfId="174" priority="27" operator="lessThan">
      <formula>$C$21</formula>
    </cfRule>
    <cfRule type="cellIs" dxfId="173" priority="28" operator="greaterThan">
      <formula>$C$21</formula>
    </cfRule>
  </conditionalFormatting>
  <conditionalFormatting sqref="BA27:BG27">
    <cfRule type="cellIs" dxfId="172" priority="25" operator="lessThan">
      <formula>$C$27</formula>
    </cfRule>
    <cfRule type="cellIs" dxfId="171" priority="26" operator="greaterThan">
      <formula>$C$27</formula>
    </cfRule>
  </conditionalFormatting>
  <conditionalFormatting sqref="BA40:BG40">
    <cfRule type="cellIs" dxfId="170" priority="23" operator="lessThan">
      <formula>$C$40</formula>
    </cfRule>
    <cfRule type="cellIs" dxfId="169" priority="24" operator="greaterThan">
      <formula>$C$40</formula>
    </cfRule>
  </conditionalFormatting>
  <conditionalFormatting sqref="BA22">
    <cfRule type="cellIs" dxfId="168" priority="21" operator="lessThan">
      <formula>$C$22</formula>
    </cfRule>
    <cfRule type="cellIs" dxfId="167" priority="22" operator="greaterThan">
      <formula>$C$22</formula>
    </cfRule>
  </conditionalFormatting>
  <conditionalFormatting sqref="BA24:BG24">
    <cfRule type="cellIs" dxfId="166" priority="19" operator="lessThan">
      <formula>$C$24</formula>
    </cfRule>
    <cfRule type="cellIs" dxfId="165" priority="20" operator="greaterThan">
      <formula>$C$24</formula>
    </cfRule>
  </conditionalFormatting>
  <conditionalFormatting sqref="BA25:BG25">
    <cfRule type="cellIs" dxfId="164" priority="17" operator="lessThan">
      <formula>$C$25</formula>
    </cfRule>
    <cfRule type="cellIs" dxfId="163" priority="18" operator="greaterThan">
      <formula>$C$25</formula>
    </cfRule>
  </conditionalFormatting>
  <conditionalFormatting sqref="BA26:BG26">
    <cfRule type="cellIs" dxfId="162" priority="15" operator="lessThan">
      <formula>$C$26</formula>
    </cfRule>
    <cfRule type="cellIs" dxfId="161" priority="16" operator="greaterThan">
      <formula>$C$26</formula>
    </cfRule>
  </conditionalFormatting>
  <conditionalFormatting sqref="BB20:BC20">
    <cfRule type="cellIs" dxfId="160" priority="6" operator="greaterThan">
      <formula>$C$20</formula>
    </cfRule>
  </conditionalFormatting>
  <conditionalFormatting sqref="BB20:BC20">
    <cfRule type="cellIs" dxfId="159" priority="5" operator="lessThan">
      <formula>$C$20</formula>
    </cfRule>
  </conditionalFormatting>
  <conditionalFormatting sqref="BB21:BC21">
    <cfRule type="cellIs" dxfId="158" priority="3" operator="lessThan">
      <formula>$C$21</formula>
    </cfRule>
    <cfRule type="cellIs" dxfId="157" priority="4" operator="greaterThan">
      <formula>$C$21</formula>
    </cfRule>
  </conditionalFormatting>
  <conditionalFormatting sqref="BB22:BC22">
    <cfRule type="cellIs" dxfId="156" priority="1" operator="lessThan">
      <formula>$C$22</formula>
    </cfRule>
    <cfRule type="cellIs" dxfId="155" priority="2" operator="greaterThan">
      <formula>$C$22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EW132"/>
  <sheetViews>
    <sheetView showGridLines="0" tabSelected="1" zoomScale="73" zoomScaleNormal="73" workbookViewId="0">
      <pane xSplit="7" ySplit="2" topLeftCell="EI3" activePane="bottomRight" state="frozen"/>
      <selection pane="topRight" activeCell="F1" sqref="F1"/>
      <selection pane="bottomLeft" activeCell="A2" sqref="A2"/>
      <selection pane="bottomRight" activeCell="ET8" sqref="ET8"/>
    </sheetView>
  </sheetViews>
  <sheetFormatPr baseColWidth="10" defaultColWidth="8.88671875" defaultRowHeight="14.4" outlineLevelRow="1" outlineLevelCol="1" x14ac:dyDescent="0.3"/>
  <cols>
    <col min="1" max="1" width="8.88671875" style="654"/>
    <col min="3" max="3" width="53" customWidth="1"/>
    <col min="4" max="4" width="19.109375" hidden="1" customWidth="1"/>
    <col min="5" max="6" width="19.109375" customWidth="1"/>
    <col min="7" max="7" width="11.44140625" customWidth="1"/>
    <col min="8" max="8" width="2.6640625" customWidth="1"/>
    <col min="9" max="15" width="15.6640625" hidden="1" customWidth="1" outlineLevel="1"/>
    <col min="16" max="16" width="2.6640625" customWidth="1" collapsed="1"/>
    <col min="17" max="23" width="15.6640625" hidden="1" customWidth="1" outlineLevel="1"/>
    <col min="24" max="24" width="2.6640625" customWidth="1" collapsed="1"/>
    <col min="25" max="31" width="15.6640625" hidden="1" customWidth="1" outlineLevel="1"/>
    <col min="32" max="32" width="2.6640625" customWidth="1" collapsed="1"/>
    <col min="33" max="39" width="15.6640625" hidden="1" customWidth="1" outlineLevel="1"/>
    <col min="40" max="40" width="2.6640625" customWidth="1" collapsed="1"/>
    <col min="41" max="47" width="15.6640625" hidden="1" customWidth="1" outlineLevel="1"/>
    <col min="48" max="48" width="2.6640625" customWidth="1" collapsed="1"/>
    <col min="49" max="55" width="15.6640625" hidden="1" customWidth="1" outlineLevel="1"/>
    <col min="56" max="56" width="2.6640625" customWidth="1" collapsed="1"/>
    <col min="57" max="62" width="15.6640625" hidden="1" customWidth="1" outlineLevel="1"/>
    <col min="63" max="63" width="16.88671875" hidden="1" customWidth="1" outlineLevel="1"/>
    <col min="64" max="64" width="2.6640625" customWidth="1" collapsed="1"/>
    <col min="65" max="72" width="16.6640625" hidden="1" customWidth="1" outlineLevel="1"/>
    <col min="73" max="73" width="3.77734375" customWidth="1" collapsed="1"/>
    <col min="74" max="81" width="16.6640625" hidden="1" customWidth="1" outlineLevel="1"/>
    <col min="82" max="82" width="3.5546875" customWidth="1" collapsed="1"/>
    <col min="83" max="90" width="16.6640625" hidden="1" customWidth="1" outlineLevel="1"/>
    <col min="91" max="91" width="4.33203125" customWidth="1" collapsed="1"/>
    <col min="92" max="99" width="16.6640625" hidden="1" customWidth="1" outlineLevel="1"/>
    <col min="100" max="100" width="4.44140625" customWidth="1" collapsed="1"/>
    <col min="101" max="108" width="16.6640625" hidden="1" customWidth="1" outlineLevel="1"/>
    <col min="109" max="109" width="4.44140625" customWidth="1" collapsed="1"/>
    <col min="110" max="117" width="16.6640625" hidden="1" customWidth="1" outlineLevel="1"/>
    <col min="118" max="118" width="4.6640625" customWidth="1" collapsed="1"/>
    <col min="119" max="126" width="16.6640625" hidden="1" customWidth="1" outlineLevel="1"/>
    <col min="127" max="127" width="4.88671875" customWidth="1" collapsed="1"/>
    <col min="128" max="135" width="16.6640625" customWidth="1" outlineLevel="1"/>
    <col min="136" max="136" width="8.88671875" customWidth="1"/>
    <col min="137" max="140" width="12.44140625" style="654" hidden="1" customWidth="1" outlineLevel="1"/>
    <col min="141" max="143" width="8.77734375" style="654" hidden="1" customWidth="1" outlineLevel="1"/>
    <col min="144" max="144" width="12.44140625" style="654" hidden="1" customWidth="1" outlineLevel="1"/>
    <col min="145" max="145" width="8.88671875" style="654" collapsed="1"/>
    <col min="146" max="146" width="13.5546875" style="654" customWidth="1" outlineLevel="1"/>
    <col min="147" max="152" width="12.44140625" style="654" bestFit="1" customWidth="1" outlineLevel="1"/>
    <col min="153" max="153" width="10.5546875" style="654" bestFit="1" customWidth="1" outlineLevel="1"/>
    <col min="154" max="16384" width="8.88671875" style="654"/>
  </cols>
  <sheetData>
    <row r="1" spans="1:153" ht="16.5" customHeight="1" thickBot="1" x14ac:dyDescent="0.35">
      <c r="C1" s="773" t="s">
        <v>127</v>
      </c>
      <c r="D1" s="773"/>
      <c r="E1" s="773"/>
      <c r="F1" s="773"/>
      <c r="G1" s="773"/>
      <c r="AO1" s="761" t="s">
        <v>5</v>
      </c>
      <c r="AP1" s="762"/>
      <c r="AQ1" s="762"/>
      <c r="AR1" s="762"/>
      <c r="AS1" s="762"/>
      <c r="AT1" s="762"/>
      <c r="AU1" s="763"/>
      <c r="AW1" s="761" t="s">
        <v>6</v>
      </c>
      <c r="AX1" s="762"/>
      <c r="AY1" s="762"/>
      <c r="AZ1" s="762"/>
      <c r="BA1" s="762"/>
      <c r="BB1" s="762"/>
      <c r="BC1" s="763"/>
      <c r="BE1" s="761" t="s">
        <v>7</v>
      </c>
      <c r="BF1" s="762"/>
      <c r="BG1" s="762"/>
      <c r="BH1" s="762"/>
      <c r="BI1" s="762"/>
      <c r="BJ1" s="762"/>
      <c r="BK1" s="763"/>
      <c r="BM1" s="761" t="s">
        <v>8</v>
      </c>
      <c r="BN1" s="762"/>
      <c r="BO1" s="762"/>
      <c r="BP1" s="762"/>
      <c r="BQ1" s="762"/>
      <c r="BR1" s="762"/>
      <c r="BS1" s="763"/>
      <c r="BT1" s="764" t="s">
        <v>16</v>
      </c>
      <c r="BV1" s="761" t="s">
        <v>227</v>
      </c>
      <c r="BW1" s="762"/>
      <c r="BX1" s="762"/>
      <c r="BY1" s="762"/>
      <c r="BZ1" s="762"/>
      <c r="CA1" s="762"/>
      <c r="CB1" s="763"/>
      <c r="CC1" s="764" t="s">
        <v>16</v>
      </c>
      <c r="CE1" s="761" t="s">
        <v>233</v>
      </c>
      <c r="CF1" s="762"/>
      <c r="CG1" s="762"/>
      <c r="CH1" s="762"/>
      <c r="CI1" s="762"/>
      <c r="CJ1" s="762"/>
      <c r="CK1" s="763"/>
      <c r="CL1" s="764" t="s">
        <v>16</v>
      </c>
      <c r="CN1" s="761" t="s">
        <v>325</v>
      </c>
      <c r="CO1" s="762"/>
      <c r="CP1" s="762"/>
      <c r="CQ1" s="762"/>
      <c r="CR1" s="762"/>
      <c r="CS1" s="762"/>
      <c r="CT1" s="763"/>
      <c r="CU1" s="764" t="s">
        <v>16</v>
      </c>
      <c r="CW1" s="761" t="s">
        <v>335</v>
      </c>
      <c r="CX1" s="762"/>
      <c r="CY1" s="762"/>
      <c r="CZ1" s="762"/>
      <c r="DA1" s="762"/>
      <c r="DB1" s="762"/>
      <c r="DC1" s="763"/>
      <c r="DD1" s="764" t="s">
        <v>16</v>
      </c>
      <c r="DF1" s="761" t="s">
        <v>349</v>
      </c>
      <c r="DG1" s="762"/>
      <c r="DH1" s="762"/>
      <c r="DI1" s="762"/>
      <c r="DJ1" s="762"/>
      <c r="DK1" s="762"/>
      <c r="DL1" s="763"/>
      <c r="DM1" s="764" t="s">
        <v>16</v>
      </c>
      <c r="DO1" s="761" t="s">
        <v>349</v>
      </c>
      <c r="DP1" s="762"/>
      <c r="DQ1" s="762"/>
      <c r="DR1" s="762"/>
      <c r="DS1" s="762"/>
      <c r="DT1" s="762"/>
      <c r="DU1" s="763"/>
      <c r="DV1" s="764" t="s">
        <v>16</v>
      </c>
      <c r="DX1" s="761" t="s">
        <v>361</v>
      </c>
      <c r="DY1" s="762"/>
      <c r="DZ1" s="762"/>
      <c r="EA1" s="762"/>
      <c r="EB1" s="762"/>
      <c r="EC1" s="762"/>
      <c r="ED1" s="763"/>
      <c r="EE1" s="764" t="s">
        <v>16</v>
      </c>
      <c r="EG1" s="761" t="s">
        <v>362</v>
      </c>
      <c r="EH1" s="762"/>
      <c r="EI1" s="762"/>
      <c r="EJ1" s="762"/>
      <c r="EK1" s="762"/>
      <c r="EL1" s="762"/>
      <c r="EM1" s="763"/>
      <c r="EN1" s="764" t="s">
        <v>16</v>
      </c>
      <c r="EP1" s="761" t="s">
        <v>363</v>
      </c>
      <c r="EQ1" s="762"/>
      <c r="ER1" s="762"/>
      <c r="ES1" s="762"/>
      <c r="ET1" s="762"/>
      <c r="EU1" s="762"/>
      <c r="EV1" s="763"/>
      <c r="EW1" s="764" t="s">
        <v>16</v>
      </c>
    </row>
    <row r="2" spans="1:153" ht="16.5" customHeight="1" thickBot="1" x14ac:dyDescent="0.35">
      <c r="B2" s="236"/>
      <c r="C2" s="774"/>
      <c r="D2" s="774"/>
      <c r="E2" s="773"/>
      <c r="F2" s="774"/>
      <c r="G2" s="774"/>
      <c r="H2" s="166"/>
      <c r="I2" s="167">
        <v>43836</v>
      </c>
      <c r="J2" s="167">
        <v>43837</v>
      </c>
      <c r="K2" s="167">
        <v>43838</v>
      </c>
      <c r="L2" s="167">
        <v>43839</v>
      </c>
      <c r="M2" s="167">
        <v>43840</v>
      </c>
      <c r="N2" s="167">
        <v>43841</v>
      </c>
      <c r="O2" s="168">
        <v>43842</v>
      </c>
      <c r="P2" s="169"/>
      <c r="Q2" s="170">
        <v>43843</v>
      </c>
      <c r="R2" s="171">
        <v>43844</v>
      </c>
      <c r="S2" s="171">
        <v>43845</v>
      </c>
      <c r="T2" s="171">
        <v>43846</v>
      </c>
      <c r="U2" s="171">
        <v>43847</v>
      </c>
      <c r="V2" s="171">
        <v>43848</v>
      </c>
      <c r="W2" s="171">
        <v>43849</v>
      </c>
      <c r="X2" s="172"/>
      <c r="Y2" s="167">
        <v>43850</v>
      </c>
      <c r="Z2" s="167">
        <v>43851</v>
      </c>
      <c r="AA2" s="167">
        <v>43852</v>
      </c>
      <c r="AB2" s="167">
        <v>43853</v>
      </c>
      <c r="AC2" s="167">
        <v>43854</v>
      </c>
      <c r="AD2" s="167">
        <v>43855</v>
      </c>
      <c r="AE2" s="167">
        <v>43856</v>
      </c>
      <c r="AG2" s="167">
        <v>43857</v>
      </c>
      <c r="AH2" s="167">
        <v>43858</v>
      </c>
      <c r="AI2" s="167">
        <v>43859</v>
      </c>
      <c r="AJ2" s="167">
        <v>43860</v>
      </c>
      <c r="AK2" s="167">
        <v>43861</v>
      </c>
      <c r="AL2" s="167">
        <v>43862</v>
      </c>
      <c r="AM2" s="167">
        <v>43863</v>
      </c>
      <c r="AO2" s="167">
        <v>43864</v>
      </c>
      <c r="AP2" s="167">
        <v>43865</v>
      </c>
      <c r="AQ2" s="167">
        <v>43866</v>
      </c>
      <c r="AR2" s="167">
        <v>43867</v>
      </c>
      <c r="AS2" s="167">
        <v>43868</v>
      </c>
      <c r="AT2" s="167">
        <v>43869</v>
      </c>
      <c r="AU2" s="167">
        <v>43870</v>
      </c>
      <c r="AW2" s="167">
        <v>43871</v>
      </c>
      <c r="AX2" s="167">
        <v>43872</v>
      </c>
      <c r="AY2" s="167">
        <v>43873</v>
      </c>
      <c r="AZ2" s="167">
        <v>43874</v>
      </c>
      <c r="BA2" s="167">
        <v>43875</v>
      </c>
      <c r="BB2" s="167">
        <v>43876</v>
      </c>
      <c r="BC2" s="167">
        <v>43877</v>
      </c>
      <c r="BE2" s="295">
        <v>43878</v>
      </c>
      <c r="BF2" s="296">
        <v>43879</v>
      </c>
      <c r="BG2" s="296">
        <v>43880</v>
      </c>
      <c r="BH2" s="296">
        <v>43881</v>
      </c>
      <c r="BI2" s="296">
        <v>43882</v>
      </c>
      <c r="BJ2" s="296">
        <v>43883</v>
      </c>
      <c r="BK2" s="297">
        <v>43884</v>
      </c>
      <c r="BM2" s="219">
        <v>43885</v>
      </c>
      <c r="BN2" s="220">
        <v>43886</v>
      </c>
      <c r="BO2" s="220">
        <v>43887</v>
      </c>
      <c r="BP2" s="220">
        <v>43888</v>
      </c>
      <c r="BQ2" s="220">
        <v>43889</v>
      </c>
      <c r="BR2" s="220">
        <v>43890</v>
      </c>
      <c r="BS2" s="221">
        <v>43891</v>
      </c>
      <c r="BT2" s="765"/>
      <c r="BV2" s="219">
        <v>43892</v>
      </c>
      <c r="BW2" s="219">
        <v>43893</v>
      </c>
      <c r="BX2" s="219">
        <v>43894</v>
      </c>
      <c r="BY2" s="219">
        <v>43895</v>
      </c>
      <c r="BZ2" s="219">
        <v>43896</v>
      </c>
      <c r="CA2" s="219">
        <v>43897</v>
      </c>
      <c r="CB2" s="219">
        <v>43898</v>
      </c>
      <c r="CC2" s="765"/>
      <c r="CE2" s="219">
        <v>43899</v>
      </c>
      <c r="CF2" s="219">
        <v>43900</v>
      </c>
      <c r="CG2" s="219">
        <v>43901</v>
      </c>
      <c r="CH2" s="472">
        <v>43902</v>
      </c>
      <c r="CI2" s="219">
        <v>43903</v>
      </c>
      <c r="CJ2" s="219">
        <v>43904</v>
      </c>
      <c r="CK2" s="219">
        <v>43905</v>
      </c>
      <c r="CL2" s="765"/>
      <c r="CN2" s="219">
        <v>43906</v>
      </c>
      <c r="CO2" s="219">
        <v>43907</v>
      </c>
      <c r="CP2" s="219">
        <v>43908</v>
      </c>
      <c r="CQ2" s="219">
        <v>43909</v>
      </c>
      <c r="CR2" s="219">
        <v>43910</v>
      </c>
      <c r="CS2" s="219">
        <v>43911</v>
      </c>
      <c r="CT2" s="219">
        <v>43912</v>
      </c>
      <c r="CU2" s="765"/>
      <c r="CW2" s="219">
        <v>43913</v>
      </c>
      <c r="CX2" s="219">
        <v>43914</v>
      </c>
      <c r="CY2" s="219">
        <v>43915</v>
      </c>
      <c r="CZ2" s="219">
        <v>43916</v>
      </c>
      <c r="DA2" s="219">
        <v>43917</v>
      </c>
      <c r="DB2" s="219">
        <v>43918</v>
      </c>
      <c r="DC2" s="219">
        <v>43919</v>
      </c>
      <c r="DD2" s="765"/>
      <c r="DF2" s="219">
        <v>43920</v>
      </c>
      <c r="DG2" s="219">
        <v>43921</v>
      </c>
      <c r="DH2" s="219">
        <v>43922</v>
      </c>
      <c r="DI2" s="219">
        <v>43923</v>
      </c>
      <c r="DJ2" s="219">
        <v>43924</v>
      </c>
      <c r="DK2" s="219">
        <v>43925</v>
      </c>
      <c r="DL2" s="219">
        <v>43926</v>
      </c>
      <c r="DM2" s="765"/>
      <c r="DO2" s="219">
        <v>43955</v>
      </c>
      <c r="DP2" s="219">
        <v>43956</v>
      </c>
      <c r="DQ2" s="219">
        <v>43957</v>
      </c>
      <c r="DR2" s="219">
        <v>43958</v>
      </c>
      <c r="DS2" s="219">
        <v>43959</v>
      </c>
      <c r="DT2" s="219">
        <v>43960</v>
      </c>
      <c r="DU2" s="219">
        <v>43961</v>
      </c>
      <c r="DV2" s="765"/>
      <c r="DX2" s="219">
        <v>43962</v>
      </c>
      <c r="DY2" s="219">
        <v>43963</v>
      </c>
      <c r="DZ2" s="219">
        <v>43964</v>
      </c>
      <c r="EA2" s="219">
        <v>43965</v>
      </c>
      <c r="EB2" s="219">
        <v>43966</v>
      </c>
      <c r="EC2" s="219">
        <v>43967</v>
      </c>
      <c r="ED2" s="219">
        <v>43968</v>
      </c>
      <c r="EE2" s="765"/>
      <c r="EG2" s="219">
        <v>43969</v>
      </c>
      <c r="EH2" s="219">
        <v>43970</v>
      </c>
      <c r="EI2" s="219">
        <v>43971</v>
      </c>
      <c r="EJ2" s="219">
        <v>43972</v>
      </c>
      <c r="EK2" s="219">
        <v>43973</v>
      </c>
      <c r="EL2" s="219">
        <v>43974</v>
      </c>
      <c r="EM2" s="219">
        <v>43975</v>
      </c>
      <c r="EN2" s="765"/>
      <c r="EP2" s="219">
        <v>43976</v>
      </c>
      <c r="EQ2" s="219">
        <v>43977</v>
      </c>
      <c r="ER2" s="219">
        <v>43978</v>
      </c>
      <c r="ES2" s="219">
        <v>43979</v>
      </c>
      <c r="ET2" s="219">
        <v>43980</v>
      </c>
      <c r="EU2" s="219">
        <v>43981</v>
      </c>
      <c r="EV2" s="219">
        <v>43982</v>
      </c>
      <c r="EW2" s="765"/>
    </row>
    <row r="3" spans="1:153" ht="15.6" x14ac:dyDescent="0.3">
      <c r="A3" s="654">
        <v>6</v>
      </c>
      <c r="B3" s="794" t="s">
        <v>21</v>
      </c>
      <c r="C3" s="775" t="s">
        <v>128</v>
      </c>
      <c r="D3" s="776"/>
      <c r="E3" s="512" t="s">
        <v>307</v>
      </c>
      <c r="F3" s="786" t="s">
        <v>22</v>
      </c>
      <c r="G3" s="787"/>
      <c r="H3" s="166"/>
      <c r="I3" s="173">
        <v>12.8</v>
      </c>
      <c r="J3" s="173">
        <v>37.799999999999997</v>
      </c>
      <c r="K3" s="173">
        <v>27.9</v>
      </c>
      <c r="L3" s="173">
        <v>11.2</v>
      </c>
      <c r="M3" s="173">
        <v>2.6</v>
      </c>
      <c r="N3" s="173">
        <v>0</v>
      </c>
      <c r="O3" s="174">
        <v>0</v>
      </c>
      <c r="P3" s="172"/>
      <c r="Q3" s="175">
        <v>3.8</v>
      </c>
      <c r="R3" s="173">
        <v>37.6</v>
      </c>
      <c r="S3" s="173">
        <v>41.2</v>
      </c>
      <c r="T3" s="173">
        <v>28.7</v>
      </c>
      <c r="U3" s="173">
        <v>12.6</v>
      </c>
      <c r="V3" s="173"/>
      <c r="W3" s="173"/>
      <c r="X3" s="172"/>
      <c r="Y3" s="173">
        <v>28.2</v>
      </c>
      <c r="Z3" s="173">
        <v>34.799999999999997</v>
      </c>
      <c r="AA3" s="173">
        <v>33.299999999999997</v>
      </c>
      <c r="AB3" s="173">
        <v>27.2</v>
      </c>
      <c r="AC3" s="173">
        <v>4.4000000000000004</v>
      </c>
      <c r="AD3" s="173"/>
      <c r="AE3" s="173"/>
      <c r="AG3" s="173">
        <v>30.3</v>
      </c>
      <c r="AH3" s="173">
        <v>46.1</v>
      </c>
      <c r="AI3" s="173">
        <v>46.9</v>
      </c>
      <c r="AJ3" s="173">
        <v>25</v>
      </c>
      <c r="AK3" s="173">
        <v>4.4000000000000004</v>
      </c>
      <c r="AL3" s="173">
        <v>0</v>
      </c>
      <c r="AM3" s="173">
        <v>0</v>
      </c>
      <c r="AO3" s="173">
        <v>0</v>
      </c>
      <c r="AP3" s="173">
        <v>35.299999999999997</v>
      </c>
      <c r="AQ3" s="173">
        <v>37.200000000000003</v>
      </c>
      <c r="AR3" s="173">
        <v>23.6</v>
      </c>
      <c r="AS3" s="173">
        <v>8.1</v>
      </c>
      <c r="AT3" s="173">
        <v>1.2</v>
      </c>
      <c r="AU3" s="173"/>
      <c r="AW3" s="173">
        <v>25.5</v>
      </c>
      <c r="AX3" s="173">
        <v>36.4</v>
      </c>
      <c r="AY3" s="173">
        <v>30</v>
      </c>
      <c r="AZ3" s="173">
        <v>24.6</v>
      </c>
      <c r="BA3" s="173">
        <v>9.1999999999999993</v>
      </c>
      <c r="BB3" s="173"/>
      <c r="BC3" s="173"/>
      <c r="BE3" s="209">
        <v>31</v>
      </c>
      <c r="BF3" s="210">
        <v>44.2</v>
      </c>
      <c r="BG3" s="210">
        <v>45.8</v>
      </c>
      <c r="BH3" s="210">
        <v>26.2</v>
      </c>
      <c r="BI3" s="210">
        <v>0.5</v>
      </c>
      <c r="BJ3" s="210">
        <v>0</v>
      </c>
      <c r="BK3" s="211">
        <v>0</v>
      </c>
      <c r="BM3" s="226">
        <v>23.6</v>
      </c>
      <c r="BN3" s="207">
        <v>39.799999999999997</v>
      </c>
      <c r="BO3" s="207">
        <v>31.7</v>
      </c>
      <c r="BP3" s="207">
        <v>25.6</v>
      </c>
      <c r="BQ3" s="207">
        <v>15.5</v>
      </c>
      <c r="BR3" s="207">
        <v>1.4</v>
      </c>
      <c r="BS3" s="224">
        <v>0</v>
      </c>
      <c r="BT3" s="255">
        <f>SUM(BM3:BS3)</f>
        <v>137.6</v>
      </c>
      <c r="BV3" s="226">
        <v>34.299999999999997</v>
      </c>
      <c r="BW3" s="207">
        <v>43.4</v>
      </c>
      <c r="BX3" s="207">
        <v>42</v>
      </c>
      <c r="BY3" s="207">
        <v>30.2</v>
      </c>
      <c r="BZ3" s="207">
        <v>12</v>
      </c>
      <c r="CA3" s="207">
        <v>7.9</v>
      </c>
      <c r="CB3" s="224">
        <v>7.7</v>
      </c>
      <c r="CC3" s="255">
        <f>SUM(BV3:CB3)</f>
        <v>177.49999999999997</v>
      </c>
      <c r="CE3" s="226">
        <v>29.8</v>
      </c>
      <c r="CF3" s="207">
        <v>41.4</v>
      </c>
      <c r="CG3" s="207">
        <v>40.299999999999997</v>
      </c>
      <c r="CH3" s="207">
        <v>40.4</v>
      </c>
      <c r="CI3" s="207">
        <v>20.100000000000001</v>
      </c>
      <c r="CJ3" s="207">
        <v>17</v>
      </c>
      <c r="CK3" s="224">
        <v>15.1</v>
      </c>
      <c r="CL3" s="255">
        <f>SUM(CE3:CK3)</f>
        <v>204.1</v>
      </c>
      <c r="CN3" s="226">
        <v>0</v>
      </c>
      <c r="CO3" s="207">
        <v>51.7</v>
      </c>
      <c r="CP3" s="207">
        <v>53.6</v>
      </c>
      <c r="CQ3" s="207">
        <v>34</v>
      </c>
      <c r="CR3" s="207">
        <v>21.5</v>
      </c>
      <c r="CS3" s="207">
        <v>13.7</v>
      </c>
      <c r="CT3" s="224">
        <v>13.9</v>
      </c>
      <c r="CU3" s="255">
        <f>SUM(CN3:CT3)</f>
        <v>188.4</v>
      </c>
      <c r="CW3" s="226">
        <v>37.299999999999997</v>
      </c>
      <c r="CX3" s="207">
        <v>46.9</v>
      </c>
      <c r="CY3" s="207">
        <v>47</v>
      </c>
      <c r="CZ3" s="207">
        <v>41</v>
      </c>
      <c r="DA3" s="207">
        <v>26.6</v>
      </c>
      <c r="DB3" s="207">
        <v>12</v>
      </c>
      <c r="DC3" s="588">
        <v>7.6</v>
      </c>
      <c r="DD3" s="255">
        <f>SUM(CW3:DC3)</f>
        <v>218.39999999999998</v>
      </c>
      <c r="DF3" s="226">
        <f>1.8+8.11+2.9+3+2.4+6.8+7.9+5.9</f>
        <v>38.81</v>
      </c>
      <c r="DG3" s="207">
        <v>38.4</v>
      </c>
      <c r="DH3" s="207">
        <v>45.6</v>
      </c>
      <c r="DI3" s="207">
        <v>19</v>
      </c>
      <c r="DJ3" s="207"/>
      <c r="DK3" s="207"/>
      <c r="DL3" s="588"/>
      <c r="DM3" s="255">
        <f>SUM(DF3:DL3)</f>
        <v>141.81</v>
      </c>
      <c r="DO3" s="226"/>
      <c r="DP3" s="207"/>
      <c r="DQ3" s="207"/>
      <c r="DR3" s="207"/>
      <c r="DS3" s="207"/>
      <c r="DT3" s="207"/>
      <c r="DU3" s="588"/>
      <c r="DV3" s="255">
        <f>SUM(DO3:DU3)</f>
        <v>0</v>
      </c>
      <c r="DX3" s="226">
        <v>35</v>
      </c>
      <c r="DY3" s="207">
        <v>26</v>
      </c>
      <c r="DZ3" s="207">
        <v>8</v>
      </c>
      <c r="EA3" s="207"/>
      <c r="EB3" s="207"/>
      <c r="EC3" s="207"/>
      <c r="ED3" s="588"/>
      <c r="EE3" s="255">
        <f>SUM(DX3:ED3)</f>
        <v>69</v>
      </c>
      <c r="EG3" s="226"/>
      <c r="EH3" s="207"/>
      <c r="EI3" s="207"/>
      <c r="EJ3" s="207"/>
      <c r="EK3" s="207"/>
      <c r="EL3" s="207"/>
      <c r="EM3" s="588"/>
      <c r="EN3" s="255">
        <f>SUM(EG3:EM3)</f>
        <v>0</v>
      </c>
      <c r="EP3" s="226">
        <v>27.3</v>
      </c>
      <c r="EQ3" s="207">
        <v>33.1</v>
      </c>
      <c r="ER3" s="207">
        <v>24.3</v>
      </c>
      <c r="ES3" s="207">
        <v>39.5</v>
      </c>
      <c r="ET3" s="207">
        <v>43</v>
      </c>
      <c r="EU3" s="207">
        <v>40.6</v>
      </c>
      <c r="EV3" s="588">
        <v>32.299999999999997</v>
      </c>
      <c r="EW3" s="255">
        <f>SUM(EP3:EV3)</f>
        <v>240.09999999999997</v>
      </c>
    </row>
    <row r="4" spans="1:153" ht="15.6" x14ac:dyDescent="0.3">
      <c r="A4" s="654">
        <v>1</v>
      </c>
      <c r="B4" s="795"/>
      <c r="C4" s="513" t="s">
        <v>129</v>
      </c>
      <c r="D4" s="514"/>
      <c r="E4" s="515" t="s">
        <v>289</v>
      </c>
      <c r="F4" s="176" t="s">
        <v>26</v>
      </c>
      <c r="G4" s="177"/>
      <c r="H4" s="166"/>
      <c r="I4" s="173">
        <f>I5+I6</f>
        <v>2169.75</v>
      </c>
      <c r="J4" s="173">
        <v>78737.440000000002</v>
      </c>
      <c r="K4" s="173">
        <v>23779.41</v>
      </c>
      <c r="L4" s="173">
        <v>28417.81</v>
      </c>
      <c r="M4" s="173">
        <v>20994.560000000001</v>
      </c>
      <c r="N4" s="173">
        <v>10674.69</v>
      </c>
      <c r="O4" s="174">
        <v>8251.5300000000007</v>
      </c>
      <c r="P4" s="178"/>
      <c r="Q4" s="175">
        <v>24395.69</v>
      </c>
      <c r="R4" s="173">
        <v>32747.279999999999</v>
      </c>
      <c r="S4" s="173">
        <v>31504.94</v>
      </c>
      <c r="T4" s="173">
        <v>28354</v>
      </c>
      <c r="U4" s="173">
        <v>22162.31</v>
      </c>
      <c r="V4" s="173">
        <v>9790.69</v>
      </c>
      <c r="W4" s="173">
        <v>8143.28</v>
      </c>
      <c r="X4" s="172"/>
      <c r="Y4" s="173">
        <v>31068.75</v>
      </c>
      <c r="Z4" s="173">
        <v>27803.31</v>
      </c>
      <c r="AA4" s="173">
        <v>28416.63</v>
      </c>
      <c r="AB4" s="173">
        <v>32007.13</v>
      </c>
      <c r="AC4" s="173">
        <v>21284.38</v>
      </c>
      <c r="AD4" s="173">
        <v>9927.81</v>
      </c>
      <c r="AE4" s="173">
        <v>9248.59</v>
      </c>
      <c r="AG4" s="173">
        <v>32584.69</v>
      </c>
      <c r="AH4" s="173">
        <v>39342.410000000003</v>
      </c>
      <c r="AI4" s="173"/>
      <c r="AJ4" s="173">
        <v>29758.66</v>
      </c>
      <c r="AK4" s="173"/>
      <c r="AL4" s="173"/>
      <c r="AM4" s="173"/>
      <c r="AO4" s="173"/>
      <c r="AP4" s="173">
        <v>34207.53</v>
      </c>
      <c r="AQ4" s="173">
        <v>24061.34</v>
      </c>
      <c r="AR4" s="173">
        <f>AR5+AR6</f>
        <v>3267.3500000000004</v>
      </c>
      <c r="AS4" s="173">
        <v>49505.56</v>
      </c>
      <c r="AT4" s="173">
        <v>10129.94</v>
      </c>
      <c r="AU4" s="173">
        <v>9246.8799999999992</v>
      </c>
      <c r="AW4" s="173"/>
      <c r="AX4" s="173">
        <f>AX5+AX6</f>
        <v>29905.57</v>
      </c>
      <c r="AY4" s="173">
        <v>27535.78</v>
      </c>
      <c r="AZ4" s="173">
        <v>27226.03</v>
      </c>
      <c r="BA4" s="173">
        <v>20386.91</v>
      </c>
      <c r="BB4" s="173">
        <v>8782.34</v>
      </c>
      <c r="BC4" s="173">
        <v>7782.09</v>
      </c>
      <c r="BE4" s="212">
        <v>31061.63</v>
      </c>
      <c r="BF4" s="173">
        <f>BF5+BF6</f>
        <v>33610.660000000003</v>
      </c>
      <c r="BG4" s="173">
        <v>29448.66</v>
      </c>
      <c r="BH4" s="173">
        <v>26872.03</v>
      </c>
      <c r="BI4" s="173">
        <v>17677.72</v>
      </c>
      <c r="BJ4" s="173">
        <v>7790.25</v>
      </c>
      <c r="BK4" s="213">
        <v>8407.59</v>
      </c>
      <c r="BM4" s="212">
        <v>30192.44</v>
      </c>
      <c r="BN4" s="173">
        <v>35643.81</v>
      </c>
      <c r="BO4" s="173">
        <v>31609.38</v>
      </c>
      <c r="BP4" s="173">
        <v>29545.13</v>
      </c>
      <c r="BQ4" s="173">
        <v>24728.84</v>
      </c>
      <c r="BR4" s="173">
        <v>11140.75</v>
      </c>
      <c r="BS4" s="174">
        <v>8141.47</v>
      </c>
      <c r="BT4" s="256">
        <f t="shared" ref="BT4:BT9" si="0">SUM(BM4:BS4)</f>
        <v>171001.82</v>
      </c>
      <c r="BV4" s="212">
        <v>19172.310000000001</v>
      </c>
      <c r="BW4" s="173">
        <v>1719.19</v>
      </c>
      <c r="BX4" s="173">
        <v>35000</v>
      </c>
      <c r="BY4" s="173">
        <v>25004.81</v>
      </c>
      <c r="BZ4" s="173">
        <v>18721.53</v>
      </c>
      <c r="CA4" s="173">
        <v>11146.56</v>
      </c>
      <c r="CB4" s="174">
        <v>5373.22</v>
      </c>
      <c r="CC4" s="256">
        <f t="shared" ref="CC4:CC9" si="1">SUM(BV4:CB4)</f>
        <v>116137.62</v>
      </c>
      <c r="CE4" s="212">
        <v>2056.09</v>
      </c>
      <c r="CF4" s="173">
        <v>35643.81</v>
      </c>
      <c r="CG4" s="173">
        <v>26395.63</v>
      </c>
      <c r="CH4" s="173">
        <v>26771.38</v>
      </c>
      <c r="CI4" s="173">
        <v>22541</v>
      </c>
      <c r="CJ4" s="173">
        <v>16232</v>
      </c>
      <c r="CK4" s="174">
        <v>12701</v>
      </c>
      <c r="CL4" s="256">
        <f t="shared" ref="CL4:CL9" si="2">SUM(CE4:CK4)</f>
        <v>142340.91</v>
      </c>
      <c r="CN4" s="212">
        <v>8503</v>
      </c>
      <c r="CO4" s="173">
        <v>29426.66</v>
      </c>
      <c r="CP4" s="173">
        <v>21020.41</v>
      </c>
      <c r="CQ4" s="173">
        <v>26925.75</v>
      </c>
      <c r="CR4" s="173">
        <v>21207.22</v>
      </c>
      <c r="CS4" s="173">
        <v>14169.13</v>
      </c>
      <c r="CT4" s="174">
        <v>9168.31</v>
      </c>
      <c r="CU4" s="256">
        <f t="shared" ref="CU4:CU9" si="3">SUM(CN4:CT4)</f>
        <v>130420.48000000001</v>
      </c>
      <c r="CW4" s="212">
        <v>2044.19</v>
      </c>
      <c r="CX4" s="173">
        <v>35266</v>
      </c>
      <c r="CY4" s="173">
        <v>31727.38</v>
      </c>
      <c r="CZ4" s="173">
        <v>28660.66</v>
      </c>
      <c r="DA4" s="173">
        <v>24308.5</v>
      </c>
      <c r="DB4" s="173">
        <v>15451.13</v>
      </c>
      <c r="DC4" s="213">
        <v>11282.72</v>
      </c>
      <c r="DD4" s="256">
        <f t="shared" ref="DD4:DD9" si="4">SUM(CW4:DC4)</f>
        <v>148740.58000000002</v>
      </c>
      <c r="DF4" s="212">
        <v>25945.66</v>
      </c>
      <c r="DG4" s="173">
        <v>27362.09</v>
      </c>
      <c r="DH4" s="173">
        <v>26432.84</v>
      </c>
      <c r="DI4" s="173">
        <v>18891.09</v>
      </c>
      <c r="DJ4" s="173"/>
      <c r="DK4" s="173"/>
      <c r="DL4" s="213"/>
      <c r="DM4" s="256">
        <f t="shared" ref="DM4:DM9" si="5">SUM(DF4:DL4)</f>
        <v>98631.679999999993</v>
      </c>
      <c r="DO4" s="212"/>
      <c r="DP4" s="173"/>
      <c r="DQ4" s="173"/>
      <c r="DR4" s="173"/>
      <c r="DS4" s="173">
        <v>3136.63</v>
      </c>
      <c r="DT4" s="173">
        <v>4401.75</v>
      </c>
      <c r="DU4" s="213">
        <v>6698.81</v>
      </c>
      <c r="DV4" s="256">
        <f t="shared" ref="DV4:DV9" si="6">SUM(DO4:DU4)</f>
        <v>14237.19</v>
      </c>
      <c r="DX4" s="212">
        <v>25613.78125</v>
      </c>
      <c r="DY4" s="173">
        <v>26895.8125</v>
      </c>
      <c r="DZ4" s="173">
        <v>6782.125</v>
      </c>
      <c r="EA4" s="173">
        <v>8606.31</v>
      </c>
      <c r="EB4" s="173"/>
      <c r="EC4" s="173"/>
      <c r="ED4" s="213"/>
      <c r="EE4" s="256">
        <f t="shared" ref="EE4:EE9" si="7">SUM(DX4:ED4)</f>
        <v>67898.028749999998</v>
      </c>
      <c r="EG4" s="212">
        <v>4567.03125</v>
      </c>
      <c r="EH4" s="173">
        <v>28056.1875</v>
      </c>
      <c r="EI4" s="173">
        <v>27170.28125</v>
      </c>
      <c r="EJ4" s="173">
        <v>28024.46875</v>
      </c>
      <c r="EK4" s="173">
        <v>26211.53125</v>
      </c>
      <c r="EL4" s="173">
        <v>25179.03125</v>
      </c>
      <c r="EM4" s="213">
        <v>25941</v>
      </c>
      <c r="EN4" s="256">
        <f t="shared" ref="EN4:EN9" si="8">SUM(EG4:EM4)</f>
        <v>165149.53125</v>
      </c>
      <c r="EP4" s="212">
        <v>23296.21875</v>
      </c>
      <c r="EQ4" s="173">
        <v>22483.625</v>
      </c>
      <c r="ER4" s="173">
        <v>19478.3125</v>
      </c>
      <c r="ES4" s="173">
        <v>29426.15625</v>
      </c>
      <c r="ET4" s="173">
        <v>28898.9375</v>
      </c>
      <c r="EU4" s="173">
        <v>26622.8125</v>
      </c>
      <c r="EV4" s="213">
        <v>23861.59375</v>
      </c>
      <c r="EW4" s="256">
        <f t="shared" ref="EW4:EW9" si="9">SUM(EP4:EV4)</f>
        <v>174067.65625</v>
      </c>
    </row>
    <row r="5" spans="1:153" ht="15.6" x14ac:dyDescent="0.3">
      <c r="A5" s="654">
        <v>2</v>
      </c>
      <c r="B5" s="795"/>
      <c r="C5" s="777" t="s">
        <v>130</v>
      </c>
      <c r="D5" s="778"/>
      <c r="E5" s="515" t="s">
        <v>290</v>
      </c>
      <c r="F5" s="771" t="s">
        <v>26</v>
      </c>
      <c r="G5" s="772"/>
      <c r="H5" s="166"/>
      <c r="I5" s="173">
        <v>2169.75</v>
      </c>
      <c r="J5" s="173">
        <v>33368.5</v>
      </c>
      <c r="K5" s="173">
        <v>4791.75</v>
      </c>
      <c r="L5" s="173">
        <v>12729.38</v>
      </c>
      <c r="M5" s="173">
        <v>9437.5</v>
      </c>
      <c r="N5" s="173">
        <v>4100.6899999999996</v>
      </c>
      <c r="O5" s="174">
        <v>3023.88</v>
      </c>
      <c r="P5" s="178"/>
      <c r="Q5" s="175">
        <v>10761.88</v>
      </c>
      <c r="R5" s="173">
        <v>13719.81</v>
      </c>
      <c r="S5" s="173">
        <v>13365.75</v>
      </c>
      <c r="T5" s="173">
        <v>12405.5</v>
      </c>
      <c r="U5" s="173">
        <v>9749.19</v>
      </c>
      <c r="V5" s="173">
        <v>3818.88</v>
      </c>
      <c r="W5" s="173">
        <v>2995.75</v>
      </c>
      <c r="X5" s="172"/>
      <c r="Y5" s="173">
        <v>13608.69</v>
      </c>
      <c r="Z5" s="173">
        <v>12595.19</v>
      </c>
      <c r="AA5" s="173">
        <v>12464.19</v>
      </c>
      <c r="AB5" s="173">
        <v>13558.06</v>
      </c>
      <c r="AC5" s="173">
        <v>9742.31</v>
      </c>
      <c r="AD5" s="173">
        <v>4098.5</v>
      </c>
      <c r="AE5" s="173">
        <v>3141.81</v>
      </c>
      <c r="AG5" s="173">
        <v>13074.81</v>
      </c>
      <c r="AH5" s="173">
        <v>15623.81</v>
      </c>
      <c r="AI5" s="173"/>
      <c r="AJ5" s="173">
        <v>13573.25</v>
      </c>
      <c r="AK5" s="173"/>
      <c r="AL5" s="173"/>
      <c r="AM5" s="173"/>
      <c r="AO5" s="173"/>
      <c r="AP5" s="173">
        <v>14019.94</v>
      </c>
      <c r="AQ5" s="173">
        <v>9551.6299999999992</v>
      </c>
      <c r="AR5" s="173">
        <v>2113.38</v>
      </c>
      <c r="AS5" s="173">
        <v>21338.38</v>
      </c>
      <c r="AT5" s="173">
        <v>3286.88</v>
      </c>
      <c r="AU5" s="173">
        <v>3496.88</v>
      </c>
      <c r="AW5" s="173"/>
      <c r="AX5" s="173">
        <v>11945.69</v>
      </c>
      <c r="AY5" s="173">
        <v>11397.31</v>
      </c>
      <c r="AZ5" s="173">
        <v>10603.25</v>
      </c>
      <c r="BA5" s="173">
        <v>8852.94</v>
      </c>
      <c r="BB5" s="173">
        <v>3510.19</v>
      </c>
      <c r="BC5" s="173">
        <v>2713.88</v>
      </c>
      <c r="BE5" s="212">
        <v>12979.75</v>
      </c>
      <c r="BF5" s="173">
        <v>13523.75</v>
      </c>
      <c r="BG5" s="173">
        <v>12027.19</v>
      </c>
      <c r="BH5" s="173">
        <v>11201.56</v>
      </c>
      <c r="BI5" s="173">
        <v>7469.69</v>
      </c>
      <c r="BJ5" s="173">
        <v>3250.5</v>
      </c>
      <c r="BK5" s="213">
        <v>3481.38</v>
      </c>
      <c r="BM5" s="212">
        <v>12421.19</v>
      </c>
      <c r="BN5" s="173">
        <v>14589</v>
      </c>
      <c r="BO5" s="173">
        <v>12835.94</v>
      </c>
      <c r="BP5" s="173">
        <v>12042.75</v>
      </c>
      <c r="BQ5" s="173">
        <v>10770.5</v>
      </c>
      <c r="BR5" s="173">
        <v>5466.94</v>
      </c>
      <c r="BS5" s="174">
        <v>3796.5</v>
      </c>
      <c r="BT5" s="256">
        <f t="shared" si="0"/>
        <v>71922.820000000007</v>
      </c>
      <c r="BV5" s="212">
        <v>8641.5</v>
      </c>
      <c r="BW5" s="173">
        <v>2132.75</v>
      </c>
      <c r="BX5" s="173">
        <v>16000</v>
      </c>
      <c r="BY5" s="173">
        <v>11268</v>
      </c>
      <c r="BZ5" s="173">
        <v>9385.56</v>
      </c>
      <c r="CA5" s="173">
        <v>6019.44</v>
      </c>
      <c r="CB5" s="174">
        <v>3297.19</v>
      </c>
      <c r="CC5" s="256">
        <f t="shared" si="1"/>
        <v>56744.44</v>
      </c>
      <c r="CE5" s="212">
        <v>2061.56</v>
      </c>
      <c r="CF5" s="173">
        <v>14589</v>
      </c>
      <c r="CG5" s="173">
        <v>13106.81</v>
      </c>
      <c r="CH5" s="173">
        <v>13125.38</v>
      </c>
      <c r="CI5" s="173">
        <v>11549</v>
      </c>
      <c r="CJ5" s="173">
        <v>7670</v>
      </c>
      <c r="CK5" s="174">
        <v>6156</v>
      </c>
      <c r="CL5" s="256">
        <f t="shared" si="2"/>
        <v>68257.75</v>
      </c>
      <c r="CN5" s="212">
        <v>4207</v>
      </c>
      <c r="CO5" s="173">
        <v>13849.5</v>
      </c>
      <c r="CP5" s="173">
        <v>7255.63</v>
      </c>
      <c r="CQ5" s="173">
        <v>13001.44</v>
      </c>
      <c r="CR5" s="173">
        <v>10146.69</v>
      </c>
      <c r="CS5" s="173">
        <v>6613.25</v>
      </c>
      <c r="CT5" s="174">
        <v>4446.0600000000004</v>
      </c>
      <c r="CU5" s="256">
        <f t="shared" si="3"/>
        <v>59519.57</v>
      </c>
      <c r="CW5" s="212">
        <v>2049.06</v>
      </c>
      <c r="CX5" s="173">
        <v>13849.5</v>
      </c>
      <c r="CY5" s="173">
        <v>15201.13</v>
      </c>
      <c r="CZ5" s="173">
        <v>14110.06</v>
      </c>
      <c r="DA5" s="173">
        <v>11743.88</v>
      </c>
      <c r="DB5" s="173">
        <v>6374.63</v>
      </c>
      <c r="DC5" s="213">
        <v>4446.1899999999996</v>
      </c>
      <c r="DD5" s="256">
        <f t="shared" si="4"/>
        <v>67774.45</v>
      </c>
      <c r="DF5" s="212">
        <f>12902.44</f>
        <v>12902.44</v>
      </c>
      <c r="DG5" s="173">
        <v>13481.88</v>
      </c>
      <c r="DH5" s="173">
        <v>12526.56</v>
      </c>
      <c r="DI5" s="173">
        <v>10345.19</v>
      </c>
      <c r="DJ5" s="173"/>
      <c r="DK5" s="173"/>
      <c r="DL5" s="213"/>
      <c r="DM5" s="256">
        <f t="shared" si="5"/>
        <v>49256.07</v>
      </c>
      <c r="DO5" s="212"/>
      <c r="DP5" s="173"/>
      <c r="DQ5" s="173"/>
      <c r="DR5" s="173"/>
      <c r="DS5" s="173">
        <v>2401.13</v>
      </c>
      <c r="DT5" s="173">
        <v>2044.38</v>
      </c>
      <c r="DU5" s="213">
        <v>2969.31</v>
      </c>
      <c r="DV5" s="256">
        <f t="shared" si="6"/>
        <v>7414.82</v>
      </c>
      <c r="DX5" s="212">
        <v>8944.5625</v>
      </c>
      <c r="DY5" s="173">
        <v>9781.8125</v>
      </c>
      <c r="DZ5" s="173">
        <v>3260.9375</v>
      </c>
      <c r="EA5" s="173">
        <v>3445.13</v>
      </c>
      <c r="EB5" s="173"/>
      <c r="EC5" s="173"/>
      <c r="ED5" s="213"/>
      <c r="EE5" s="256">
        <f t="shared" si="7"/>
        <v>25432.442500000001</v>
      </c>
      <c r="EG5" s="212">
        <v>2654</v>
      </c>
      <c r="EH5" s="173">
        <v>10957.375</v>
      </c>
      <c r="EI5" s="173">
        <v>10426.8125</v>
      </c>
      <c r="EJ5" s="173">
        <v>10723.1875</v>
      </c>
      <c r="EK5" s="173">
        <v>10599.5625</v>
      </c>
      <c r="EL5" s="173">
        <v>10101.1875</v>
      </c>
      <c r="EM5" s="213">
        <v>10856.875</v>
      </c>
      <c r="EN5" s="256">
        <f t="shared" si="8"/>
        <v>66319</v>
      </c>
      <c r="EP5" s="212">
        <v>10046.4375</v>
      </c>
      <c r="EQ5" s="173">
        <v>10108.625</v>
      </c>
      <c r="ER5" s="173">
        <v>9475.25</v>
      </c>
      <c r="ES5" s="173">
        <v>12643.6875</v>
      </c>
      <c r="ET5" s="173">
        <v>13016.25</v>
      </c>
      <c r="EU5" s="173">
        <v>11637.1875</v>
      </c>
      <c r="EV5" s="213">
        <v>11076.8125</v>
      </c>
      <c r="EW5" s="256">
        <f t="shared" si="9"/>
        <v>78004.25</v>
      </c>
    </row>
    <row r="6" spans="1:153" ht="15.6" x14ac:dyDescent="0.3">
      <c r="A6" s="654">
        <v>3</v>
      </c>
      <c r="B6" s="795"/>
      <c r="C6" s="777" t="s">
        <v>131</v>
      </c>
      <c r="D6" s="778"/>
      <c r="E6" s="515" t="s">
        <v>328</v>
      </c>
      <c r="F6" s="771" t="s">
        <v>26</v>
      </c>
      <c r="G6" s="772"/>
      <c r="H6" s="166"/>
      <c r="I6" s="173"/>
      <c r="J6" s="173">
        <v>45368.94</v>
      </c>
      <c r="K6" s="173">
        <v>18987.66</v>
      </c>
      <c r="L6" s="173">
        <v>15688.44</v>
      </c>
      <c r="M6" s="173">
        <v>11557.06</v>
      </c>
      <c r="N6" s="173">
        <v>6574</v>
      </c>
      <c r="O6" s="174">
        <v>5227.66</v>
      </c>
      <c r="P6" s="178"/>
      <c r="Q6" s="175">
        <v>13633.81</v>
      </c>
      <c r="R6" s="173">
        <v>19027.47</v>
      </c>
      <c r="S6" s="173">
        <v>18139.189999999999</v>
      </c>
      <c r="T6" s="173">
        <v>15948.5</v>
      </c>
      <c r="U6" s="173">
        <v>12413.13</v>
      </c>
      <c r="V6" s="173">
        <v>5971.81</v>
      </c>
      <c r="W6" s="173">
        <v>5147.53</v>
      </c>
      <c r="X6" s="172"/>
      <c r="Y6" s="173">
        <v>17460.060000000001</v>
      </c>
      <c r="Z6" s="173">
        <v>15208.13</v>
      </c>
      <c r="AA6" s="173">
        <v>15952.44</v>
      </c>
      <c r="AB6" s="173">
        <v>18449.060000000001</v>
      </c>
      <c r="AC6" s="173">
        <v>11542.06</v>
      </c>
      <c r="AD6" s="173">
        <v>5829.31</v>
      </c>
      <c r="AE6" s="173">
        <v>6106.78</v>
      </c>
      <c r="AG6" s="173">
        <v>19509.88</v>
      </c>
      <c r="AH6" s="173">
        <v>23718.59</v>
      </c>
      <c r="AI6" s="173"/>
      <c r="AJ6" s="173">
        <v>16185.41</v>
      </c>
      <c r="AK6" s="173"/>
      <c r="AL6" s="173"/>
      <c r="AM6" s="173"/>
      <c r="AO6" s="173"/>
      <c r="AP6" s="173">
        <v>20187.59</v>
      </c>
      <c r="AQ6" s="173">
        <v>14509.72</v>
      </c>
      <c r="AR6" s="173">
        <v>1153.97</v>
      </c>
      <c r="AS6" s="173">
        <v>28167.19</v>
      </c>
      <c r="AT6" s="173">
        <v>6843.06</v>
      </c>
      <c r="AU6" s="173">
        <v>5750</v>
      </c>
      <c r="AW6" s="173"/>
      <c r="AX6" s="173">
        <v>17959.88</v>
      </c>
      <c r="AY6" s="173">
        <v>16138.47</v>
      </c>
      <c r="AZ6" s="173">
        <v>16622.78</v>
      </c>
      <c r="BA6" s="173">
        <v>11533.97</v>
      </c>
      <c r="BB6" s="173">
        <v>5272.16</v>
      </c>
      <c r="BC6" s="173">
        <v>5068.22</v>
      </c>
      <c r="BE6" s="212">
        <v>18081.88</v>
      </c>
      <c r="BF6" s="173">
        <v>20086.91</v>
      </c>
      <c r="BG6" s="173">
        <v>17421.47</v>
      </c>
      <c r="BH6" s="173">
        <v>15670.47</v>
      </c>
      <c r="BI6" s="173">
        <v>10208.030000000001</v>
      </c>
      <c r="BJ6" s="173">
        <v>4539.75</v>
      </c>
      <c r="BK6" s="213">
        <v>4926.22</v>
      </c>
      <c r="BM6" s="212">
        <v>17771.25</v>
      </c>
      <c r="BN6" s="173">
        <v>21054.81</v>
      </c>
      <c r="BO6" s="173">
        <v>18773.439999999999</v>
      </c>
      <c r="BP6" s="173">
        <v>17502.38</v>
      </c>
      <c r="BQ6" s="173">
        <v>13958.34</v>
      </c>
      <c r="BR6" s="173">
        <v>5673.81</v>
      </c>
      <c r="BS6" s="174">
        <v>4344.97</v>
      </c>
      <c r="BT6" s="256">
        <f t="shared" si="0"/>
        <v>99079</v>
      </c>
      <c r="BV6" s="212">
        <v>10530.81</v>
      </c>
      <c r="BW6" s="173">
        <v>-413.56</v>
      </c>
      <c r="BX6" s="173">
        <v>37808.75</v>
      </c>
      <c r="BY6" s="173">
        <v>13318.56</v>
      </c>
      <c r="BZ6" s="173">
        <v>9335</v>
      </c>
      <c r="CA6" s="173">
        <v>5127.13</v>
      </c>
      <c r="CB6" s="174">
        <v>2076.0300000000002</v>
      </c>
      <c r="CC6" s="256">
        <f t="shared" si="1"/>
        <v>77782.720000000001</v>
      </c>
      <c r="CE6" s="212">
        <v>-5.47</v>
      </c>
      <c r="CF6" s="173">
        <v>26851.75</v>
      </c>
      <c r="CG6" s="173">
        <v>13288.81</v>
      </c>
      <c r="CH6" s="173">
        <f>CH4-CH5</f>
        <v>13646.000000000002</v>
      </c>
      <c r="CI6" s="173">
        <v>10992</v>
      </c>
      <c r="CJ6" s="173">
        <v>8562</v>
      </c>
      <c r="CK6" s="174">
        <v>6545</v>
      </c>
      <c r="CL6" s="256">
        <f t="shared" si="2"/>
        <v>79880.09</v>
      </c>
      <c r="CN6" s="212">
        <v>4295</v>
      </c>
      <c r="CO6" s="173">
        <v>15577.16</v>
      </c>
      <c r="CP6" s="173">
        <v>11058.16</v>
      </c>
      <c r="CQ6" s="173">
        <f>CQ4-CQ5</f>
        <v>13924.31</v>
      </c>
      <c r="CR6" s="173">
        <v>11060.53</v>
      </c>
      <c r="CS6" s="173">
        <v>7555.88</v>
      </c>
      <c r="CT6" s="174">
        <v>4722.25</v>
      </c>
      <c r="CU6" s="256">
        <f t="shared" si="3"/>
        <v>68193.289999999994</v>
      </c>
      <c r="CW6" s="212">
        <v>-4.88</v>
      </c>
      <c r="CX6" s="173">
        <v>15577.16</v>
      </c>
      <c r="CY6" s="173">
        <f>CY4-CY5</f>
        <v>16526.25</v>
      </c>
      <c r="CZ6" s="173">
        <f>CZ4-CZ5</f>
        <v>14550.6</v>
      </c>
      <c r="DA6" s="173">
        <f t="shared" ref="DA6:DC6" si="10">DA4-DA5</f>
        <v>12564.62</v>
      </c>
      <c r="DB6" s="173">
        <f t="shared" si="10"/>
        <v>9076.5</v>
      </c>
      <c r="DC6" s="173">
        <f t="shared" si="10"/>
        <v>6836.53</v>
      </c>
      <c r="DD6" s="256">
        <f t="shared" si="4"/>
        <v>75126.78</v>
      </c>
      <c r="DF6" s="212">
        <f>DF4-DF5</f>
        <v>13043.22</v>
      </c>
      <c r="DG6" s="173">
        <f>DG4-DG5</f>
        <v>13880.210000000001</v>
      </c>
      <c r="DH6" s="173">
        <v>13906.28</v>
      </c>
      <c r="DI6" s="173">
        <v>13906.28</v>
      </c>
      <c r="DJ6" s="173"/>
      <c r="DK6" s="173"/>
      <c r="DL6" s="173"/>
      <c r="DM6" s="256">
        <f t="shared" si="5"/>
        <v>54735.99</v>
      </c>
      <c r="DO6" s="212"/>
      <c r="DP6" s="173"/>
      <c r="DQ6" s="173"/>
      <c r="DR6" s="173"/>
      <c r="DS6" s="173">
        <v>735.5</v>
      </c>
      <c r="DT6" s="173">
        <v>2357</v>
      </c>
      <c r="DU6" s="173">
        <v>3729.5</v>
      </c>
      <c r="DV6" s="256">
        <f t="shared" si="6"/>
        <v>6822</v>
      </c>
      <c r="DX6" s="212">
        <v>16669.21875</v>
      </c>
      <c r="DY6" s="173">
        <v>17114</v>
      </c>
      <c r="DZ6" s="173">
        <v>3521.1875</v>
      </c>
      <c r="EA6" s="173">
        <f>EA4-EA5</f>
        <v>5161.1799999999994</v>
      </c>
      <c r="EB6" s="173"/>
      <c r="EC6" s="173"/>
      <c r="ED6" s="173"/>
      <c r="EE6" s="256">
        <f t="shared" si="7"/>
        <v>42465.58625</v>
      </c>
      <c r="EG6" s="212">
        <v>1913.03125</v>
      </c>
      <c r="EH6" s="173">
        <v>17098.8125</v>
      </c>
      <c r="EI6" s="173">
        <v>16743.46875</v>
      </c>
      <c r="EJ6" s="173">
        <v>17301.28125</v>
      </c>
      <c r="EK6" s="173">
        <v>15611.96875</v>
      </c>
      <c r="EL6" s="173">
        <v>15077.84375</v>
      </c>
      <c r="EM6" s="173">
        <v>15084.125</v>
      </c>
      <c r="EN6" s="256">
        <f t="shared" si="8"/>
        <v>98830.53125</v>
      </c>
      <c r="EP6" s="212">
        <v>13249.78125</v>
      </c>
      <c r="EQ6" s="173">
        <v>12375</v>
      </c>
      <c r="ER6" s="173">
        <v>10003.0625</v>
      </c>
      <c r="ES6" s="173">
        <v>16782.46875</v>
      </c>
      <c r="ET6" s="173">
        <v>15882.6875</v>
      </c>
      <c r="EU6" s="173">
        <v>14985.625</v>
      </c>
      <c r="EV6" s="173">
        <v>12784.78125</v>
      </c>
      <c r="EW6" s="256">
        <f t="shared" si="9"/>
        <v>96063.40625</v>
      </c>
    </row>
    <row r="7" spans="1:153" ht="15.6" x14ac:dyDescent="0.3">
      <c r="A7" s="654">
        <v>4</v>
      </c>
      <c r="B7" s="795"/>
      <c r="C7" s="513" t="s">
        <v>132</v>
      </c>
      <c r="D7" s="514"/>
      <c r="E7" s="515" t="s">
        <v>303</v>
      </c>
      <c r="F7" s="179" t="s">
        <v>133</v>
      </c>
      <c r="G7" s="180"/>
      <c r="H7" s="166"/>
      <c r="I7" s="173">
        <v>6688.64</v>
      </c>
      <c r="J7" s="173">
        <v>6789.89</v>
      </c>
      <c r="K7" s="173">
        <v>6170.75</v>
      </c>
      <c r="L7" s="173">
        <v>4592.8999999999996</v>
      </c>
      <c r="M7" s="173">
        <v>2493.5700000000002</v>
      </c>
      <c r="N7" s="173">
        <v>0</v>
      </c>
      <c r="O7" s="174">
        <v>4.4800000000000004</v>
      </c>
      <c r="P7" s="172"/>
      <c r="Q7" s="175">
        <v>4364.42</v>
      </c>
      <c r="R7" s="173">
        <v>6805.12</v>
      </c>
      <c r="S7" s="173">
        <v>6962.82</v>
      </c>
      <c r="T7" s="173">
        <v>6124.16</v>
      </c>
      <c r="U7" s="173"/>
      <c r="V7" s="173"/>
      <c r="W7" s="173"/>
      <c r="X7" s="172"/>
      <c r="Y7" s="173"/>
      <c r="Z7" s="173">
        <v>191156.9</v>
      </c>
      <c r="AA7" s="173">
        <v>209721.24</v>
      </c>
      <c r="AB7" s="173">
        <v>201763.22</v>
      </c>
      <c r="AC7" s="173">
        <v>126768.6</v>
      </c>
      <c r="AD7" s="173">
        <v>59126.94</v>
      </c>
      <c r="AE7" s="173">
        <v>41031.46</v>
      </c>
      <c r="AG7" s="173">
        <v>163875.5</v>
      </c>
      <c r="AH7" s="173">
        <v>210205.44</v>
      </c>
      <c r="AI7" s="173">
        <v>205073.66</v>
      </c>
      <c r="AJ7" s="173">
        <v>174875.14</v>
      </c>
      <c r="AK7" s="173">
        <v>103543.18</v>
      </c>
      <c r="AL7" s="173">
        <v>23722.86</v>
      </c>
      <c r="AM7" s="173">
        <v>20724.48</v>
      </c>
      <c r="AO7" s="173">
        <v>9769.6299999999992</v>
      </c>
      <c r="AP7" s="173">
        <v>171059.20000000001</v>
      </c>
      <c r="AQ7" s="173">
        <v>180730.62</v>
      </c>
      <c r="AR7" s="173">
        <v>146584.57999999999</v>
      </c>
      <c r="AS7" s="173">
        <v>130483.44</v>
      </c>
      <c r="AT7" s="173">
        <v>42696.17</v>
      </c>
      <c r="AU7" s="173">
        <v>29964.39</v>
      </c>
      <c r="AW7" s="173">
        <v>32696</v>
      </c>
      <c r="AX7" s="173">
        <v>3490.57</v>
      </c>
      <c r="AY7" s="173">
        <v>4211.2299999999996</v>
      </c>
      <c r="AZ7" s="173">
        <v>16969.52</v>
      </c>
      <c r="BA7" s="173">
        <v>15413.19</v>
      </c>
      <c r="BB7" s="173">
        <v>4064.2</v>
      </c>
      <c r="BC7" s="173">
        <v>1352.25</v>
      </c>
      <c r="BE7" s="212">
        <v>15990.95</v>
      </c>
      <c r="BF7" s="173">
        <v>16467.330000000002</v>
      </c>
      <c r="BG7" s="173">
        <v>16461.400000000001</v>
      </c>
      <c r="BH7" s="173">
        <v>17845.61</v>
      </c>
      <c r="BI7" s="173">
        <v>11608.96</v>
      </c>
      <c r="BJ7" s="173">
        <v>2577.16</v>
      </c>
      <c r="BK7" s="213">
        <v>2816.81</v>
      </c>
      <c r="BM7" s="212">
        <v>21716.37</v>
      </c>
      <c r="BN7" s="173">
        <v>21519.29</v>
      </c>
      <c r="BO7" s="173">
        <v>16812.919999999998</v>
      </c>
      <c r="BP7" s="173">
        <v>22406.99</v>
      </c>
      <c r="BQ7" s="173">
        <v>19336.38</v>
      </c>
      <c r="BR7" s="173">
        <v>4922.1499999999996</v>
      </c>
      <c r="BS7" s="174">
        <v>4417.04</v>
      </c>
      <c r="BT7" s="256">
        <f t="shared" si="0"/>
        <v>111131.14</v>
      </c>
      <c r="BV7" s="212">
        <v>19354.14</v>
      </c>
      <c r="BW7" s="173">
        <v>19989.650000000001</v>
      </c>
      <c r="BX7" s="173">
        <v>18015.27</v>
      </c>
      <c r="BY7" s="173">
        <v>26762.93</v>
      </c>
      <c r="BZ7" s="173">
        <v>19219.72</v>
      </c>
      <c r="CA7" s="173">
        <v>9994.64</v>
      </c>
      <c r="CB7" s="174">
        <v>4737.24</v>
      </c>
      <c r="CC7" s="256">
        <f t="shared" si="1"/>
        <v>118073.59</v>
      </c>
      <c r="CE7" s="212">
        <v>13919.52</v>
      </c>
      <c r="CF7" s="173">
        <v>21519.29</v>
      </c>
      <c r="CG7" s="173">
        <v>37820.050000000003</v>
      </c>
      <c r="CH7" s="173">
        <v>37170.370000000003</v>
      </c>
      <c r="CI7" s="173">
        <v>30812</v>
      </c>
      <c r="CJ7" s="173">
        <v>17074</v>
      </c>
      <c r="CK7" s="174">
        <v>14984</v>
      </c>
      <c r="CL7" s="256">
        <f t="shared" si="2"/>
        <v>173299.23</v>
      </c>
      <c r="CN7" s="212">
        <v>10976</v>
      </c>
      <c r="CO7" s="173">
        <v>38444.42</v>
      </c>
      <c r="CP7" s="173">
        <v>28376.09</v>
      </c>
      <c r="CQ7" s="173">
        <v>33140.46</v>
      </c>
      <c r="CR7" s="173">
        <v>28282.7</v>
      </c>
      <c r="CS7" s="173">
        <v>16907.900000000001</v>
      </c>
      <c r="CT7" s="174">
        <v>13503.56</v>
      </c>
      <c r="CU7" s="256">
        <f t="shared" si="3"/>
        <v>169631.13</v>
      </c>
      <c r="CW7" s="212">
        <v>17421.71</v>
      </c>
      <c r="CX7" s="173">
        <v>38444.42</v>
      </c>
      <c r="CY7" s="173">
        <v>39826.21</v>
      </c>
      <c r="CZ7" s="173">
        <v>34945.699999999997</v>
      </c>
      <c r="DA7" s="173">
        <v>27547.3</v>
      </c>
      <c r="DB7" s="173">
        <v>15617.09</v>
      </c>
      <c r="DC7" s="213">
        <v>13281.21</v>
      </c>
      <c r="DD7" s="256">
        <f t="shared" si="4"/>
        <v>187083.63999999998</v>
      </c>
      <c r="DF7" s="212">
        <v>35767.33</v>
      </c>
      <c r="DG7" s="173">
        <v>31101.54</v>
      </c>
      <c r="DH7" s="173">
        <v>34348.85</v>
      </c>
      <c r="DI7" s="173">
        <v>26645.3</v>
      </c>
      <c r="DJ7" s="173"/>
      <c r="DK7" s="173"/>
      <c r="DL7" s="213"/>
      <c r="DM7" s="256">
        <f t="shared" si="5"/>
        <v>127863.02</v>
      </c>
      <c r="DO7" s="212"/>
      <c r="DP7" s="173"/>
      <c r="DQ7" s="173"/>
      <c r="DR7" s="173"/>
      <c r="DS7" s="173">
        <v>429</v>
      </c>
      <c r="DT7" s="173">
        <v>3796.73</v>
      </c>
      <c r="DU7" s="213">
        <v>3491.99</v>
      </c>
      <c r="DV7" s="256">
        <f t="shared" si="6"/>
        <v>7717.7199999999993</v>
      </c>
      <c r="DX7" s="212">
        <v>28130.962400000499</v>
      </c>
      <c r="DY7" s="173">
        <v>30132.854000000301</v>
      </c>
      <c r="DZ7" s="173">
        <v>8539.1867999993301</v>
      </c>
      <c r="EA7" s="173">
        <v>9500.59</v>
      </c>
      <c r="EB7" s="173"/>
      <c r="EC7" s="173"/>
      <c r="ED7" s="213"/>
      <c r="EE7" s="256">
        <f t="shared" si="7"/>
        <v>76303.593200000119</v>
      </c>
      <c r="EG7" s="212">
        <v>197.716799998656</v>
      </c>
      <c r="EH7" s="173">
        <v>20879.701600002099</v>
      </c>
      <c r="EI7" s="173">
        <v>20920.403999999198</v>
      </c>
      <c r="EJ7" s="173">
        <v>27706.347200000699</v>
      </c>
      <c r="EK7" s="173">
        <v>29393.852399999301</v>
      </c>
      <c r="EL7" s="173">
        <v>27143.212400000499</v>
      </c>
      <c r="EM7" s="213">
        <v>28089.438799999702</v>
      </c>
      <c r="EN7" s="256">
        <f t="shared" si="8"/>
        <v>154330.67320000016</v>
      </c>
      <c r="EP7" s="212">
        <v>23824.590800000398</v>
      </c>
      <c r="EQ7" s="173">
        <v>26745.809999998699</v>
      </c>
      <c r="ER7" s="173">
        <v>25118.898399999402</v>
      </c>
      <c r="ES7" s="173">
        <v>33889.948400002002</v>
      </c>
      <c r="ET7" s="173">
        <v>36361.582399999701</v>
      </c>
      <c r="EU7" s="173">
        <v>34528.632799999803</v>
      </c>
      <c r="EV7" s="213">
        <v>33308.719200000203</v>
      </c>
      <c r="EW7" s="256">
        <f t="shared" si="9"/>
        <v>213778.18200000018</v>
      </c>
    </row>
    <row r="8" spans="1:153" ht="15" customHeight="1" x14ac:dyDescent="0.3">
      <c r="A8" s="654">
        <v>5</v>
      </c>
      <c r="B8" s="795"/>
      <c r="C8" s="467" t="s">
        <v>135</v>
      </c>
      <c r="D8" s="468"/>
      <c r="E8" s="518" t="s">
        <v>304</v>
      </c>
      <c r="F8" s="179" t="s">
        <v>136</v>
      </c>
      <c r="G8" s="180"/>
      <c r="H8" s="166"/>
      <c r="I8" s="173">
        <v>0</v>
      </c>
      <c r="J8" s="173">
        <v>0</v>
      </c>
      <c r="K8" s="173">
        <f>328637*0.028</f>
        <v>9201.8359999999993</v>
      </c>
      <c r="L8" s="173">
        <v>11170</v>
      </c>
      <c r="M8" s="173">
        <v>7575</v>
      </c>
      <c r="N8" s="173">
        <v>1333</v>
      </c>
      <c r="O8" s="174">
        <v>588</v>
      </c>
      <c r="P8" s="172"/>
      <c r="Q8" s="175">
        <v>7194</v>
      </c>
      <c r="R8" s="173">
        <v>9352</v>
      </c>
      <c r="S8" s="173">
        <v>8473</v>
      </c>
      <c r="T8" s="173">
        <v>7940</v>
      </c>
      <c r="U8" s="173">
        <v>6831</v>
      </c>
      <c r="V8" s="173">
        <v>834</v>
      </c>
      <c r="W8" s="173">
        <v>306</v>
      </c>
      <c r="X8" s="172"/>
      <c r="Y8" s="173">
        <v>10395</v>
      </c>
      <c r="Z8" s="173">
        <v>8658</v>
      </c>
      <c r="AA8" s="173">
        <v>8192</v>
      </c>
      <c r="AB8" s="173">
        <v>7367</v>
      </c>
      <c r="AC8" s="173">
        <v>5840</v>
      </c>
      <c r="AD8" s="173">
        <v>1912</v>
      </c>
      <c r="AE8" s="173">
        <v>443</v>
      </c>
      <c r="AG8" s="173">
        <v>8454</v>
      </c>
      <c r="AH8" s="173">
        <v>10113</v>
      </c>
      <c r="AI8" s="173">
        <v>11067</v>
      </c>
      <c r="AJ8" s="173">
        <v>8423</v>
      </c>
      <c r="AK8" s="173">
        <v>4753</v>
      </c>
      <c r="AL8" s="173">
        <v>600</v>
      </c>
      <c r="AM8" s="173">
        <v>219</v>
      </c>
      <c r="AO8" s="173">
        <v>290</v>
      </c>
      <c r="AP8" s="173">
        <v>9661</v>
      </c>
      <c r="AQ8" s="173">
        <v>7151</v>
      </c>
      <c r="AR8" s="173"/>
      <c r="AS8" s="173">
        <v>16792</v>
      </c>
      <c r="AT8" s="173">
        <v>809</v>
      </c>
      <c r="AU8" s="173">
        <v>344</v>
      </c>
      <c r="AW8" s="173">
        <v>6794</v>
      </c>
      <c r="AX8" s="173">
        <v>8530</v>
      </c>
      <c r="AY8" s="173">
        <v>10044</v>
      </c>
      <c r="AZ8" s="173">
        <v>8674</v>
      </c>
      <c r="BA8" s="173">
        <v>6387</v>
      </c>
      <c r="BB8" s="173">
        <v>1754</v>
      </c>
      <c r="BC8" s="173">
        <v>407</v>
      </c>
      <c r="BE8" s="212">
        <v>9156</v>
      </c>
      <c r="BF8" s="173">
        <v>8757</v>
      </c>
      <c r="BG8" s="173">
        <v>8165</v>
      </c>
      <c r="BH8" s="173">
        <v>7129</v>
      </c>
      <c r="BI8" s="173">
        <v>3951</v>
      </c>
      <c r="BJ8" s="173">
        <v>225</v>
      </c>
      <c r="BK8" s="213">
        <v>557</v>
      </c>
      <c r="BM8" s="212">
        <v>11778</v>
      </c>
      <c r="BN8" s="173">
        <v>11525</v>
      </c>
      <c r="BO8" s="173">
        <v>9162</v>
      </c>
      <c r="BP8" s="173">
        <v>8811</v>
      </c>
      <c r="BQ8" s="173">
        <v>6919</v>
      </c>
      <c r="BR8" s="173">
        <v>2847</v>
      </c>
      <c r="BS8" s="174">
        <v>683</v>
      </c>
      <c r="BT8" s="256">
        <f t="shared" si="0"/>
        <v>51725</v>
      </c>
      <c r="BV8" s="212">
        <v>5069</v>
      </c>
      <c r="BW8" s="173">
        <v>15901</v>
      </c>
      <c r="BX8" s="173">
        <v>15000</v>
      </c>
      <c r="BY8" s="173">
        <v>9776</v>
      </c>
      <c r="BZ8" s="173">
        <v>6239</v>
      </c>
      <c r="CA8" s="173">
        <v>3945</v>
      </c>
      <c r="CB8" s="174">
        <v>880</v>
      </c>
      <c r="CC8" s="256">
        <f t="shared" si="1"/>
        <v>56810</v>
      </c>
      <c r="CE8" s="212">
        <v>0</v>
      </c>
      <c r="CF8" s="173">
        <v>11525</v>
      </c>
      <c r="CG8" s="173">
        <v>10362</v>
      </c>
      <c r="CH8" s="173">
        <v>9306</v>
      </c>
      <c r="CI8" s="173">
        <v>7143</v>
      </c>
      <c r="CJ8" s="173">
        <v>3368</v>
      </c>
      <c r="CK8" s="526">
        <v>2467</v>
      </c>
      <c r="CL8" s="256">
        <f t="shared" si="2"/>
        <v>44171</v>
      </c>
      <c r="CN8" s="527">
        <v>930</v>
      </c>
      <c r="CO8" s="173">
        <v>10849</v>
      </c>
      <c r="CP8" s="173">
        <v>7604</v>
      </c>
      <c r="CQ8" s="173">
        <v>9410</v>
      </c>
      <c r="CR8" s="173">
        <v>6962</v>
      </c>
      <c r="CS8" s="173">
        <v>3501</v>
      </c>
      <c r="CT8" s="174">
        <v>1596</v>
      </c>
      <c r="CU8" s="256">
        <f t="shared" si="3"/>
        <v>40852</v>
      </c>
      <c r="CW8" s="212">
        <v>0</v>
      </c>
      <c r="CX8" s="173">
        <v>10849</v>
      </c>
      <c r="CY8" s="173">
        <v>10901</v>
      </c>
      <c r="CZ8" s="173">
        <v>8754</v>
      </c>
      <c r="DA8" s="173">
        <v>7725</v>
      </c>
      <c r="DB8" s="173">
        <v>2524</v>
      </c>
      <c r="DC8" s="213">
        <v>1638</v>
      </c>
      <c r="DD8" s="256">
        <f t="shared" si="4"/>
        <v>42391</v>
      </c>
      <c r="DF8" s="212">
        <v>9044</v>
      </c>
      <c r="DG8" s="173">
        <v>8599</v>
      </c>
      <c r="DH8" s="173">
        <v>9312</v>
      </c>
      <c r="DI8" s="173">
        <v>6646</v>
      </c>
      <c r="DJ8" s="173"/>
      <c r="DK8" s="173"/>
      <c r="DL8" s="213"/>
      <c r="DM8" s="256">
        <f t="shared" si="5"/>
        <v>33601</v>
      </c>
      <c r="DO8" s="212"/>
      <c r="DP8" s="173"/>
      <c r="DQ8" s="173"/>
      <c r="DR8" s="173"/>
      <c r="DS8" s="173">
        <v>462</v>
      </c>
      <c r="DT8" s="173">
        <v>522</v>
      </c>
      <c r="DU8" s="213">
        <v>1341</v>
      </c>
      <c r="DV8" s="256">
        <f t="shared" si="6"/>
        <v>2325</v>
      </c>
      <c r="DX8" s="212">
        <v>8337</v>
      </c>
      <c r="DY8" s="173">
        <v>8690</v>
      </c>
      <c r="DZ8" s="173">
        <v>704</v>
      </c>
      <c r="EA8" s="173">
        <v>1069</v>
      </c>
      <c r="EB8" s="173"/>
      <c r="EC8" s="173"/>
      <c r="ED8" s="213"/>
      <c r="EE8" s="256">
        <f t="shared" si="7"/>
        <v>18800</v>
      </c>
      <c r="EG8" s="212">
        <v>275</v>
      </c>
      <c r="EH8" s="173">
        <v>8052</v>
      </c>
      <c r="EI8" s="173">
        <v>7891</v>
      </c>
      <c r="EJ8" s="173">
        <v>8723</v>
      </c>
      <c r="EK8" s="173">
        <v>9273</v>
      </c>
      <c r="EL8" s="173">
        <v>9076</v>
      </c>
      <c r="EM8" s="213">
        <v>9121</v>
      </c>
      <c r="EN8" s="256">
        <f t="shared" si="8"/>
        <v>52411</v>
      </c>
      <c r="EP8" s="212">
        <v>7092</v>
      </c>
      <c r="EQ8" s="173">
        <v>6643</v>
      </c>
      <c r="ER8" s="173">
        <v>5651</v>
      </c>
      <c r="ES8" s="173">
        <v>8339</v>
      </c>
      <c r="ET8" s="173">
        <v>8881</v>
      </c>
      <c r="EU8" s="173">
        <v>8068</v>
      </c>
      <c r="EV8" s="213">
        <v>8631</v>
      </c>
      <c r="EW8" s="256">
        <f t="shared" si="9"/>
        <v>53305</v>
      </c>
    </row>
    <row r="9" spans="1:153" ht="16.2" thickBot="1" x14ac:dyDescent="0.35">
      <c r="B9" s="795"/>
      <c r="C9" s="777" t="s">
        <v>139</v>
      </c>
      <c r="D9" s="778"/>
      <c r="E9" s="512"/>
      <c r="F9" s="771" t="s">
        <v>140</v>
      </c>
      <c r="G9" s="772"/>
      <c r="H9" s="166"/>
      <c r="I9" s="173">
        <v>4</v>
      </c>
      <c r="J9" s="173">
        <v>8</v>
      </c>
      <c r="K9" s="173">
        <v>8</v>
      </c>
      <c r="L9" s="173">
        <v>5</v>
      </c>
      <c r="M9" s="173"/>
      <c r="N9" s="173"/>
      <c r="O9" s="174"/>
      <c r="P9" s="172"/>
      <c r="Q9" s="175">
        <v>3</v>
      </c>
      <c r="R9" s="173">
        <v>7</v>
      </c>
      <c r="S9" s="173">
        <v>8</v>
      </c>
      <c r="T9" s="173">
        <v>7</v>
      </c>
      <c r="U9" s="173">
        <v>5</v>
      </c>
      <c r="V9" s="173"/>
      <c r="W9" s="173"/>
      <c r="X9" s="172"/>
      <c r="Y9" s="173">
        <v>6</v>
      </c>
      <c r="Z9" s="173">
        <v>7</v>
      </c>
      <c r="AA9" s="173">
        <v>7</v>
      </c>
      <c r="AB9" s="173">
        <v>7</v>
      </c>
      <c r="AC9" s="173">
        <v>3</v>
      </c>
      <c r="AD9" s="173"/>
      <c r="AE9" s="173"/>
      <c r="AG9" s="173">
        <v>5</v>
      </c>
      <c r="AH9" s="173">
        <v>8</v>
      </c>
      <c r="AI9" s="173"/>
      <c r="AJ9" s="173">
        <v>9</v>
      </c>
      <c r="AK9" s="173"/>
      <c r="AL9" s="173"/>
      <c r="AM9" s="173"/>
      <c r="AO9" s="173"/>
      <c r="AP9" s="173">
        <v>8</v>
      </c>
      <c r="AQ9" s="173">
        <v>9</v>
      </c>
      <c r="AR9" s="173">
        <v>7</v>
      </c>
      <c r="AS9" s="173">
        <v>3</v>
      </c>
      <c r="AT9" s="173">
        <v>1</v>
      </c>
      <c r="AU9" s="173"/>
      <c r="AW9" s="173"/>
      <c r="AX9" s="173">
        <v>7</v>
      </c>
      <c r="AY9" s="173">
        <v>6</v>
      </c>
      <c r="AZ9" s="173">
        <v>5</v>
      </c>
      <c r="BA9" s="173"/>
      <c r="BB9" s="173"/>
      <c r="BC9" s="173"/>
      <c r="BE9" s="212">
        <v>4</v>
      </c>
      <c r="BF9" s="173">
        <v>8</v>
      </c>
      <c r="BG9" s="173">
        <v>7</v>
      </c>
      <c r="BH9" s="173">
        <v>9</v>
      </c>
      <c r="BI9" s="173"/>
      <c r="BJ9" s="173"/>
      <c r="BK9" s="213"/>
      <c r="BM9" s="212">
        <v>5</v>
      </c>
      <c r="BN9" s="173">
        <v>8</v>
      </c>
      <c r="BO9" s="173">
        <v>7</v>
      </c>
      <c r="BP9" s="173">
        <v>6</v>
      </c>
      <c r="BQ9" s="173">
        <v>4</v>
      </c>
      <c r="BR9" s="173">
        <v>1</v>
      </c>
      <c r="BS9" s="174"/>
      <c r="BT9" s="257">
        <f t="shared" si="0"/>
        <v>31</v>
      </c>
      <c r="BV9" s="212">
        <v>7</v>
      </c>
      <c r="BW9" s="173">
        <v>9</v>
      </c>
      <c r="BX9" s="173">
        <v>8</v>
      </c>
      <c r="BY9" s="173">
        <v>7</v>
      </c>
      <c r="BZ9" s="173">
        <v>3</v>
      </c>
      <c r="CA9" s="173">
        <v>1</v>
      </c>
      <c r="CB9" s="174">
        <v>1</v>
      </c>
      <c r="CC9" s="257">
        <f t="shared" si="1"/>
        <v>36</v>
      </c>
      <c r="CE9" s="212">
        <v>5</v>
      </c>
      <c r="CF9" s="173">
        <v>8</v>
      </c>
      <c r="CG9" s="173"/>
      <c r="CH9" s="173">
        <v>8</v>
      </c>
      <c r="CI9" s="173"/>
      <c r="CJ9" s="173"/>
      <c r="CK9" s="174"/>
      <c r="CL9" s="257">
        <f t="shared" si="2"/>
        <v>21</v>
      </c>
      <c r="CN9" s="212">
        <v>0</v>
      </c>
      <c r="CO9" s="173">
        <v>9</v>
      </c>
      <c r="CP9" s="173">
        <v>0</v>
      </c>
      <c r="CQ9" s="173">
        <v>9</v>
      </c>
      <c r="CR9" s="173">
        <v>6</v>
      </c>
      <c r="CS9" s="173">
        <v>3</v>
      </c>
      <c r="CT9" s="174">
        <v>2</v>
      </c>
      <c r="CU9" s="257">
        <f t="shared" si="3"/>
        <v>29</v>
      </c>
      <c r="CW9" s="212">
        <v>6</v>
      </c>
      <c r="CX9" s="173">
        <v>9</v>
      </c>
      <c r="CY9" s="173">
        <v>9</v>
      </c>
      <c r="CZ9" s="173">
        <v>8</v>
      </c>
      <c r="DA9" s="173">
        <v>6</v>
      </c>
      <c r="DB9" s="173">
        <v>4</v>
      </c>
      <c r="DC9" s="213">
        <v>1</v>
      </c>
      <c r="DD9" s="257">
        <f t="shared" si="4"/>
        <v>43</v>
      </c>
      <c r="DF9" s="212">
        <v>8</v>
      </c>
      <c r="DG9" s="173">
        <v>10</v>
      </c>
      <c r="DH9" s="173"/>
      <c r="DI9" s="173">
        <v>8</v>
      </c>
      <c r="DJ9" s="173"/>
      <c r="DK9" s="173"/>
      <c r="DL9" s="213"/>
      <c r="DM9" s="257">
        <f t="shared" si="5"/>
        <v>26</v>
      </c>
      <c r="DO9" s="212"/>
      <c r="DP9" s="173"/>
      <c r="DQ9" s="173"/>
      <c r="DR9" s="173"/>
      <c r="DS9" s="173"/>
      <c r="DT9" s="173"/>
      <c r="DU9" s="213"/>
      <c r="DV9" s="257">
        <f t="shared" si="6"/>
        <v>0</v>
      </c>
      <c r="DX9" s="212"/>
      <c r="DY9" s="173"/>
      <c r="DZ9" s="173"/>
      <c r="EA9" s="173"/>
      <c r="EB9" s="173"/>
      <c r="EC9" s="173"/>
      <c r="ED9" s="213"/>
      <c r="EE9" s="257">
        <f t="shared" si="7"/>
        <v>0</v>
      </c>
      <c r="EG9" s="212"/>
      <c r="EH9" s="173"/>
      <c r="EI9" s="173"/>
      <c r="EJ9" s="173"/>
      <c r="EK9" s="173"/>
      <c r="EL9" s="173"/>
      <c r="EM9" s="213"/>
      <c r="EN9" s="257">
        <f t="shared" si="8"/>
        <v>0</v>
      </c>
      <c r="EP9" s="212"/>
      <c r="EQ9" s="173"/>
      <c r="ER9" s="173"/>
      <c r="ES9" s="173"/>
      <c r="ET9" s="173"/>
      <c r="EU9" s="173"/>
      <c r="EV9" s="213"/>
      <c r="EW9" s="257">
        <f t="shared" si="9"/>
        <v>0</v>
      </c>
    </row>
    <row r="10" spans="1:153" ht="15.6" x14ac:dyDescent="0.3">
      <c r="A10" s="654">
        <v>13</v>
      </c>
      <c r="B10" s="795"/>
      <c r="C10" s="766" t="s">
        <v>134</v>
      </c>
      <c r="D10" s="767"/>
      <c r="E10" s="768"/>
      <c r="F10" s="181" t="s">
        <v>53</v>
      </c>
      <c r="G10" s="182"/>
      <c r="H10" s="166"/>
      <c r="I10" s="183" t="e">
        <f t="shared" ref="I10:O10" si="11">I9/I6</f>
        <v>#DIV/0!</v>
      </c>
      <c r="J10" s="183">
        <f t="shared" si="11"/>
        <v>1.7633208975127034E-4</v>
      </c>
      <c r="K10" s="183">
        <f t="shared" si="11"/>
        <v>4.2132627190501621E-4</v>
      </c>
      <c r="L10" s="183">
        <f t="shared" si="11"/>
        <v>3.1870600263633606E-4</v>
      </c>
      <c r="M10" s="183">
        <f t="shared" si="11"/>
        <v>0</v>
      </c>
      <c r="N10" s="183">
        <f t="shared" si="11"/>
        <v>0</v>
      </c>
      <c r="O10" s="184">
        <f t="shared" si="11"/>
        <v>0</v>
      </c>
      <c r="P10" s="172"/>
      <c r="Q10" s="185">
        <f t="shared" ref="Q10:W10" si="12">Q9/Q6</f>
        <v>2.2004120638324871E-4</v>
      </c>
      <c r="R10" s="183">
        <f t="shared" si="12"/>
        <v>3.6788916235316622E-4</v>
      </c>
      <c r="S10" s="183">
        <f t="shared" si="12"/>
        <v>4.4103402632642366E-4</v>
      </c>
      <c r="T10" s="183">
        <f t="shared" si="12"/>
        <v>4.3891275041539959E-4</v>
      </c>
      <c r="U10" s="183">
        <f t="shared" si="12"/>
        <v>4.0279929397339756E-4</v>
      </c>
      <c r="V10" s="183">
        <f t="shared" si="12"/>
        <v>0</v>
      </c>
      <c r="W10" s="183">
        <f t="shared" si="12"/>
        <v>0</v>
      </c>
      <c r="X10" s="172"/>
      <c r="Y10" s="183">
        <f t="shared" ref="Y10:AE10" si="13">Y9/Y6</f>
        <v>3.4364143078546118E-4</v>
      </c>
      <c r="Z10" s="183">
        <f t="shared" si="13"/>
        <v>4.6028012648497877E-4</v>
      </c>
      <c r="AA10" s="183">
        <f t="shared" si="13"/>
        <v>4.3880434591824196E-4</v>
      </c>
      <c r="AB10" s="183">
        <f t="shared" si="13"/>
        <v>3.7942312508062738E-4</v>
      </c>
      <c r="AC10" s="183">
        <f t="shared" si="13"/>
        <v>2.5991893994659532E-4</v>
      </c>
      <c r="AD10" s="183">
        <f t="shared" si="13"/>
        <v>0</v>
      </c>
      <c r="AE10" s="183">
        <f t="shared" si="13"/>
        <v>0</v>
      </c>
      <c r="AG10" s="183">
        <f t="shared" ref="AG10:AM10" si="14">AG9/AG6</f>
        <v>2.5628040767037007E-4</v>
      </c>
      <c r="AH10" s="183">
        <f t="shared" si="14"/>
        <v>3.3728817775424257E-4</v>
      </c>
      <c r="AI10" s="183" t="e">
        <f t="shared" si="14"/>
        <v>#DIV/0!</v>
      </c>
      <c r="AJ10" s="183">
        <f t="shared" si="14"/>
        <v>5.5605634951477907E-4</v>
      </c>
      <c r="AK10" s="183" t="e">
        <f t="shared" si="14"/>
        <v>#DIV/0!</v>
      </c>
      <c r="AL10" s="183" t="e">
        <f t="shared" si="14"/>
        <v>#DIV/0!</v>
      </c>
      <c r="AM10" s="183" t="e">
        <f t="shared" si="14"/>
        <v>#DIV/0!</v>
      </c>
      <c r="AO10" s="183" t="e">
        <f t="shared" ref="AO10:AS10" si="15">AO7/AO3</f>
        <v>#DIV/0!</v>
      </c>
      <c r="AP10" s="183">
        <f t="shared" si="15"/>
        <v>4845.8696883852699</v>
      </c>
      <c r="AQ10" s="183">
        <f t="shared" si="15"/>
        <v>4858.3499999999995</v>
      </c>
      <c r="AR10" s="183">
        <f t="shared" si="15"/>
        <v>6211.2110169491516</v>
      </c>
      <c r="AS10" s="183">
        <f t="shared" si="15"/>
        <v>16109.066666666668</v>
      </c>
      <c r="AT10" s="183">
        <f t="shared" ref="AT10" si="16">AT7/AT3</f>
        <v>35580.14166666667</v>
      </c>
      <c r="AU10" s="183">
        <f t="shared" ref="AU10" si="17">AU9/AU6</f>
        <v>0</v>
      </c>
      <c r="AW10" s="183">
        <f t="shared" ref="AW10:BC10" si="18">AW7/AW3</f>
        <v>1282.1960784313726</v>
      </c>
      <c r="AX10" s="183">
        <f t="shared" si="18"/>
        <v>95.89478021978023</v>
      </c>
      <c r="AY10" s="183">
        <f t="shared" si="18"/>
        <v>140.37433333333331</v>
      </c>
      <c r="AZ10" s="183">
        <f t="shared" si="18"/>
        <v>689.81788617886173</v>
      </c>
      <c r="BA10" s="183">
        <f t="shared" ref="BA10" si="19">BA7/BA3</f>
        <v>1675.346739130435</v>
      </c>
      <c r="BB10" s="183" t="e">
        <f t="shared" si="18"/>
        <v>#DIV/0!</v>
      </c>
      <c r="BC10" s="183" t="e">
        <f t="shared" si="18"/>
        <v>#DIV/0!</v>
      </c>
      <c r="BE10" s="214">
        <f t="shared" ref="BE10:BI10" si="20">BE7/BE3</f>
        <v>515.83709677419358</v>
      </c>
      <c r="BF10" s="183">
        <f t="shared" si="20"/>
        <v>372.5640271493213</v>
      </c>
      <c r="BG10" s="183">
        <f t="shared" si="20"/>
        <v>359.41921397379917</v>
      </c>
      <c r="BH10" s="183">
        <f t="shared" si="20"/>
        <v>681.13015267175581</v>
      </c>
      <c r="BI10" s="183">
        <f t="shared" si="20"/>
        <v>23217.919999999998</v>
      </c>
      <c r="BJ10" s="183" t="e">
        <f>BJ7/BJ3</f>
        <v>#DIV/0!</v>
      </c>
      <c r="BK10" s="215">
        <f t="shared" ref="BK10" si="21">BK9/BK6</f>
        <v>0</v>
      </c>
      <c r="BM10" s="214">
        <f>BM7/BM3</f>
        <v>920.18516949152536</v>
      </c>
      <c r="BN10" s="183">
        <f t="shared" ref="BN10:BR10" si="22">BN7/BN3</f>
        <v>540.68567839195987</v>
      </c>
      <c r="BO10" s="183">
        <f t="shared" si="22"/>
        <v>530.37602523659302</v>
      </c>
      <c r="BP10" s="183">
        <f t="shared" si="22"/>
        <v>875.27304687499998</v>
      </c>
      <c r="BQ10" s="183">
        <f t="shared" si="22"/>
        <v>1247.5083870967742</v>
      </c>
      <c r="BR10" s="183">
        <f t="shared" si="22"/>
        <v>3515.8214285714284</v>
      </c>
      <c r="BS10" s="215" t="e">
        <f>BS7/BS3</f>
        <v>#DIV/0!</v>
      </c>
      <c r="BV10" s="214">
        <f>BV7/BV3</f>
        <v>564.26064139941695</v>
      </c>
      <c r="BW10" s="183">
        <f t="shared" ref="BW10:CA10" si="23">BW7/BW3</f>
        <v>460.59101382488484</v>
      </c>
      <c r="BX10" s="183">
        <f t="shared" si="23"/>
        <v>428.935</v>
      </c>
      <c r="BY10" s="183">
        <f t="shared" si="23"/>
        <v>886.18973509933778</v>
      </c>
      <c r="BZ10" s="183">
        <f t="shared" si="23"/>
        <v>1601.6433333333334</v>
      </c>
      <c r="CA10" s="183">
        <f t="shared" si="23"/>
        <v>1265.1443037974682</v>
      </c>
      <c r="CB10" s="215">
        <f>CB7/CB3</f>
        <v>615.22597402597398</v>
      </c>
      <c r="CE10" s="214">
        <f>CE7/CE3</f>
        <v>467.09798657718119</v>
      </c>
      <c r="CF10" s="183">
        <f t="shared" ref="CF10:CJ10" si="24">CF7/CF3</f>
        <v>519.78961352657007</v>
      </c>
      <c r="CG10" s="183">
        <f t="shared" si="24"/>
        <v>938.46277915632766</v>
      </c>
      <c r="CH10" s="183">
        <f t="shared" si="24"/>
        <v>920.05866336633676</v>
      </c>
      <c r="CI10" s="183">
        <f t="shared" si="24"/>
        <v>1532.9353233830846</v>
      </c>
      <c r="CJ10" s="183">
        <f t="shared" si="24"/>
        <v>1004.3529411764706</v>
      </c>
      <c r="CK10" s="215">
        <f>CK7/CK3</f>
        <v>992.31788079470198</v>
      </c>
      <c r="CN10" s="214" t="e">
        <f>CN7/CN3</f>
        <v>#DIV/0!</v>
      </c>
      <c r="CO10" s="183">
        <f t="shared" ref="CO10:CS10" si="25">CO7/CO3</f>
        <v>743.60580270793025</v>
      </c>
      <c r="CP10" s="183">
        <f t="shared" si="25"/>
        <v>529.40466417910443</v>
      </c>
      <c r="CQ10" s="183">
        <f t="shared" si="25"/>
        <v>974.71941176470591</v>
      </c>
      <c r="CR10" s="183">
        <f t="shared" si="25"/>
        <v>1315.4744186046512</v>
      </c>
      <c r="CS10" s="183">
        <f t="shared" si="25"/>
        <v>1234.1532846715331</v>
      </c>
      <c r="CT10" s="215">
        <f>CT7/CT3</f>
        <v>971.47913669064747</v>
      </c>
      <c r="CW10" s="214">
        <f>CW7/CW3</f>
        <v>467.06997319034855</v>
      </c>
      <c r="CX10" s="183">
        <f t="shared" ref="CX10:DB10" si="26">CX7/CX3</f>
        <v>819.71044776119402</v>
      </c>
      <c r="CY10" s="183">
        <f t="shared" si="26"/>
        <v>847.36617021276595</v>
      </c>
      <c r="CZ10" s="183">
        <f t="shared" si="26"/>
        <v>852.33414634146334</v>
      </c>
      <c r="DA10" s="183">
        <f t="shared" si="26"/>
        <v>1035.6127819548872</v>
      </c>
      <c r="DB10" s="183">
        <f t="shared" si="26"/>
        <v>1301.4241666666667</v>
      </c>
      <c r="DC10" s="215">
        <f>DC7/DC3</f>
        <v>1747.5276315789474</v>
      </c>
      <c r="DF10" s="214">
        <f>DF7/DF3</f>
        <v>921.60087606287038</v>
      </c>
      <c r="DG10" s="183">
        <f t="shared" ref="DG10:DK10" si="27">DG7/DG3</f>
        <v>809.93593750000002</v>
      </c>
      <c r="DH10" s="183">
        <f t="shared" si="27"/>
        <v>753.26425438596482</v>
      </c>
      <c r="DI10" s="183">
        <f t="shared" si="27"/>
        <v>1402.3842105263157</v>
      </c>
      <c r="DJ10" s="183" t="e">
        <f t="shared" si="27"/>
        <v>#DIV/0!</v>
      </c>
      <c r="DK10" s="183" t="e">
        <f t="shared" si="27"/>
        <v>#DIV/0!</v>
      </c>
      <c r="DL10" s="215" t="e">
        <f>DL7/DL3</f>
        <v>#DIV/0!</v>
      </c>
      <c r="DO10" s="214" t="e">
        <f>DO7/DO3</f>
        <v>#DIV/0!</v>
      </c>
      <c r="DP10" s="183" t="e">
        <f t="shared" ref="DP10:DT10" si="28">DP7/DP3</f>
        <v>#DIV/0!</v>
      </c>
      <c r="DQ10" s="183" t="e">
        <f t="shared" si="28"/>
        <v>#DIV/0!</v>
      </c>
      <c r="DR10" s="183" t="e">
        <f t="shared" si="28"/>
        <v>#DIV/0!</v>
      </c>
      <c r="DS10" s="183" t="e">
        <f t="shared" si="28"/>
        <v>#DIV/0!</v>
      </c>
      <c r="DT10" s="183" t="e">
        <f t="shared" si="28"/>
        <v>#DIV/0!</v>
      </c>
      <c r="DU10" s="215" t="e">
        <f>DU7/DU3</f>
        <v>#DIV/0!</v>
      </c>
      <c r="DX10" s="183">
        <f>IF(ISNUMBER(DX3), DX7/DX3,)</f>
        <v>803.74178285715709</v>
      </c>
      <c r="DY10" s="183">
        <f t="shared" ref="DY10:DZ10" si="29">IF(ISNUMBER(DY3), DY7/DY3,)</f>
        <v>1158.9559230769346</v>
      </c>
      <c r="DZ10" s="183">
        <f t="shared" si="29"/>
        <v>1067.3983499999163</v>
      </c>
      <c r="EA10" s="183">
        <f>IF(ISNUMBER(EA3), EA7/EA3,)</f>
        <v>0</v>
      </c>
      <c r="EB10" s="183">
        <f t="shared" ref="EB10:ED10" si="30">IF(ISNUMBER(EB3), EB7/EB3,)</f>
        <v>0</v>
      </c>
      <c r="EC10" s="183">
        <f t="shared" si="30"/>
        <v>0</v>
      </c>
      <c r="ED10" s="183">
        <f t="shared" si="30"/>
        <v>0</v>
      </c>
      <c r="EG10" s="183">
        <f>IF(ISNUMBER(EG3), EG7/EG3,)</f>
        <v>0</v>
      </c>
      <c r="EH10" s="183">
        <f t="shared" ref="EH10:EI10" si="31">IF(ISNUMBER(EH3), EH7/EH3,)</f>
        <v>0</v>
      </c>
      <c r="EI10" s="183">
        <f t="shared" si="31"/>
        <v>0</v>
      </c>
      <c r="EJ10" s="183">
        <f>IF(ISNUMBER(EJ3), EJ7/EJ3,)</f>
        <v>0</v>
      </c>
      <c r="EK10" s="183">
        <f t="shared" ref="EK10:EM10" si="32">IF(ISNUMBER(EK3), EK7/EK3,)</f>
        <v>0</v>
      </c>
      <c r="EL10" s="183">
        <f t="shared" si="32"/>
        <v>0</v>
      </c>
      <c r="EM10" s="183">
        <f t="shared" si="32"/>
        <v>0</v>
      </c>
      <c r="EN10"/>
      <c r="EP10" s="183">
        <f>IF(ISNUMBER(EP3), EP7/EP3,)</f>
        <v>872.69563369964828</v>
      </c>
      <c r="EQ10" s="183">
        <f t="shared" ref="EQ10:ER10" si="33">IF(ISNUMBER(EQ3), EQ7/EQ3,)</f>
        <v>808.03051359512688</v>
      </c>
      <c r="ER10" s="183">
        <f t="shared" si="33"/>
        <v>1033.6995226337201</v>
      </c>
      <c r="ES10" s="183">
        <f>IF(ISNUMBER(ES3), ES7/ES3,)</f>
        <v>857.97337721524059</v>
      </c>
      <c r="ET10" s="183">
        <f t="shared" ref="ET10:EV10" si="34">IF(ISNUMBER(ET3), ET7/ET3,)</f>
        <v>845.61819534883023</v>
      </c>
      <c r="EU10" s="183">
        <f t="shared" si="34"/>
        <v>850.45893596058625</v>
      </c>
      <c r="EV10" s="183">
        <f t="shared" si="34"/>
        <v>1031.2296965944336</v>
      </c>
      <c r="EW10"/>
    </row>
    <row r="11" spans="1:153" ht="15.6" x14ac:dyDescent="0.3">
      <c r="A11" s="654">
        <v>14</v>
      </c>
      <c r="B11" s="795"/>
      <c r="C11" s="189" t="s">
        <v>137</v>
      </c>
      <c r="D11" s="190"/>
      <c r="E11" s="191"/>
      <c r="F11" s="181" t="s">
        <v>138</v>
      </c>
      <c r="G11" s="182"/>
      <c r="H11" s="166"/>
      <c r="I11" s="183" t="e">
        <f t="shared" ref="I11:O11" si="35">I10/I5</f>
        <v>#DIV/0!</v>
      </c>
      <c r="J11" s="183">
        <f t="shared" si="35"/>
        <v>5.2843876635530622E-9</v>
      </c>
      <c r="K11" s="183">
        <f t="shared" si="35"/>
        <v>8.7927431920491726E-8</v>
      </c>
      <c r="L11" s="183">
        <f t="shared" si="35"/>
        <v>2.5037040502863146E-8</v>
      </c>
      <c r="M11" s="183">
        <f t="shared" si="35"/>
        <v>0</v>
      </c>
      <c r="N11" s="183">
        <f t="shared" si="35"/>
        <v>0</v>
      </c>
      <c r="O11" s="184">
        <f t="shared" si="35"/>
        <v>0</v>
      </c>
      <c r="P11" s="172"/>
      <c r="Q11" s="185">
        <f t="shared" ref="Q11:W11" si="36">Q10/Q5</f>
        <v>2.0446353832531928E-8</v>
      </c>
      <c r="R11" s="183">
        <f t="shared" si="36"/>
        <v>2.6814450225853436E-8</v>
      </c>
      <c r="S11" s="183">
        <f t="shared" si="36"/>
        <v>3.2997327222671657E-8</v>
      </c>
      <c r="T11" s="183">
        <f t="shared" si="36"/>
        <v>3.5380496587432962E-8</v>
      </c>
      <c r="U11" s="183">
        <f t="shared" si="36"/>
        <v>4.1316180520986621E-8</v>
      </c>
      <c r="V11" s="183">
        <f t="shared" si="36"/>
        <v>0</v>
      </c>
      <c r="W11" s="183">
        <f t="shared" si="36"/>
        <v>0</v>
      </c>
      <c r="X11" s="172"/>
      <c r="Y11" s="183">
        <f t="shared" ref="Y11:AE11" si="37">Y10/Y5</f>
        <v>2.5251617222926026E-8</v>
      </c>
      <c r="Z11" s="183">
        <f t="shared" si="37"/>
        <v>3.6544119341191258E-8</v>
      </c>
      <c r="AA11" s="183">
        <f t="shared" si="37"/>
        <v>3.5205203540562357E-8</v>
      </c>
      <c r="AB11" s="183">
        <f t="shared" si="37"/>
        <v>2.7985060184172913E-8</v>
      </c>
      <c r="AC11" s="183">
        <f t="shared" si="37"/>
        <v>2.6679395332995492E-8</v>
      </c>
      <c r="AD11" s="183">
        <f t="shared" si="37"/>
        <v>0</v>
      </c>
      <c r="AE11" s="183">
        <f t="shared" si="37"/>
        <v>0</v>
      </c>
      <c r="AG11" s="183">
        <f t="shared" ref="AG11:AM11" si="38">AG10/AG5</f>
        <v>1.9601080831795649E-8</v>
      </c>
      <c r="AH11" s="183">
        <f t="shared" si="38"/>
        <v>2.158808752501743E-8</v>
      </c>
      <c r="AI11" s="183" t="e">
        <f t="shared" si="38"/>
        <v>#DIV/0!</v>
      </c>
      <c r="AJ11" s="183">
        <f t="shared" si="38"/>
        <v>4.0967074909456399E-8</v>
      </c>
      <c r="AK11" s="183" t="e">
        <f t="shared" si="38"/>
        <v>#DIV/0!</v>
      </c>
      <c r="AL11" s="183" t="e">
        <f t="shared" si="38"/>
        <v>#DIV/0!</v>
      </c>
      <c r="AM11" s="183" t="e">
        <f t="shared" si="38"/>
        <v>#DIV/0!</v>
      </c>
      <c r="AO11" s="183" t="e">
        <f t="shared" ref="AO11" si="39">AO10/AO5</f>
        <v>#DIV/0!</v>
      </c>
      <c r="AP11" s="183">
        <f>AP8/AP3</f>
        <v>273.68271954674225</v>
      </c>
      <c r="AQ11" s="183">
        <f t="shared" ref="AQ11:AT11" si="40">AQ8/AQ3</f>
        <v>192.23118279569891</v>
      </c>
      <c r="AR11" s="183">
        <f t="shared" si="40"/>
        <v>0</v>
      </c>
      <c r="AS11" s="183">
        <f t="shared" si="40"/>
        <v>2073.0864197530864</v>
      </c>
      <c r="AT11" s="183">
        <f t="shared" si="40"/>
        <v>674.16666666666674</v>
      </c>
      <c r="AU11" s="183" t="e">
        <f>AU8/AU3</f>
        <v>#DIV/0!</v>
      </c>
      <c r="AW11" s="183" t="e">
        <f t="shared" ref="AW11" si="41">AW10/AW5</f>
        <v>#DIV/0!</v>
      </c>
      <c r="AX11" s="183">
        <f>AX8/AX3</f>
        <v>234.34065934065936</v>
      </c>
      <c r="AY11" s="183">
        <f t="shared" ref="AY11:BC11" si="42">AY8/AY3</f>
        <v>334.8</v>
      </c>
      <c r="AZ11" s="183">
        <f t="shared" si="42"/>
        <v>352.60162601626013</v>
      </c>
      <c r="BA11" s="183">
        <f t="shared" si="42"/>
        <v>694.23913043478262</v>
      </c>
      <c r="BB11" s="183" t="e">
        <f t="shared" si="42"/>
        <v>#DIV/0!</v>
      </c>
      <c r="BC11" s="183" t="e">
        <f t="shared" si="42"/>
        <v>#DIV/0!</v>
      </c>
      <c r="BE11" s="214">
        <f>BE8/BE3</f>
        <v>295.35483870967744</v>
      </c>
      <c r="BF11" s="183">
        <f>BF8/BF3</f>
        <v>198.12217194570135</v>
      </c>
      <c r="BG11" s="183">
        <f t="shared" ref="BG11:BK11" si="43">BG8/BG3</f>
        <v>178.27510917030568</v>
      </c>
      <c r="BH11" s="183">
        <f t="shared" si="43"/>
        <v>272.09923664122141</v>
      </c>
      <c r="BI11" s="183">
        <f t="shared" si="43"/>
        <v>7902</v>
      </c>
      <c r="BJ11" s="183" t="e">
        <f t="shared" si="43"/>
        <v>#DIV/0!</v>
      </c>
      <c r="BK11" s="215" t="e">
        <f t="shared" si="43"/>
        <v>#DIV/0!</v>
      </c>
      <c r="BM11" s="214">
        <f>BM8/BM3</f>
        <v>499.06779661016947</v>
      </c>
      <c r="BN11" s="183">
        <f t="shared" ref="BN11:BR11" si="44">BN8/BN3</f>
        <v>289.57286432160805</v>
      </c>
      <c r="BO11" s="183">
        <f t="shared" si="44"/>
        <v>289.02208201892745</v>
      </c>
      <c r="BP11" s="183">
        <f t="shared" si="44"/>
        <v>344.1796875</v>
      </c>
      <c r="BQ11" s="183">
        <f t="shared" si="44"/>
        <v>446.38709677419354</v>
      </c>
      <c r="BR11" s="183">
        <f t="shared" si="44"/>
        <v>2033.5714285714287</v>
      </c>
      <c r="BS11" s="215" t="e">
        <f>BS8/BS3</f>
        <v>#DIV/0!</v>
      </c>
      <c r="BV11" s="214">
        <f>BV8/BV3</f>
        <v>147.78425655976679</v>
      </c>
      <c r="BW11" s="183">
        <f t="shared" ref="BW11:CA11" si="45">BW8/BW3</f>
        <v>366.38248847926269</v>
      </c>
      <c r="BX11" s="183">
        <f t="shared" si="45"/>
        <v>357.14285714285717</v>
      </c>
      <c r="BY11" s="183">
        <f t="shared" si="45"/>
        <v>323.70860927152319</v>
      </c>
      <c r="BZ11" s="183">
        <f t="shared" si="45"/>
        <v>519.91666666666663</v>
      </c>
      <c r="CA11" s="183">
        <f t="shared" si="45"/>
        <v>499.36708860759489</v>
      </c>
      <c r="CB11" s="215">
        <f>CB8/CB3</f>
        <v>114.28571428571428</v>
      </c>
      <c r="CE11" s="214">
        <f>CE8/CE3</f>
        <v>0</v>
      </c>
      <c r="CF11" s="183">
        <f t="shared" ref="CF11:CJ11" si="46">CF8/CF3</f>
        <v>278.38164251207729</v>
      </c>
      <c r="CG11" s="183">
        <f t="shared" si="46"/>
        <v>257.12158808933003</v>
      </c>
      <c r="CH11" s="183">
        <f t="shared" si="46"/>
        <v>230.34653465346534</v>
      </c>
      <c r="CI11" s="183">
        <f t="shared" si="46"/>
        <v>355.37313432835816</v>
      </c>
      <c r="CJ11" s="183">
        <f t="shared" si="46"/>
        <v>198.11764705882354</v>
      </c>
      <c r="CK11" s="215">
        <f>CK8/CK3</f>
        <v>163.37748344370863</v>
      </c>
      <c r="CN11" s="214" t="e">
        <f>CN8/CN3</f>
        <v>#DIV/0!</v>
      </c>
      <c r="CO11" s="183">
        <f t="shared" ref="CO11:CS11" si="47">CO8/CO3</f>
        <v>209.84526112185685</v>
      </c>
      <c r="CP11" s="183">
        <f t="shared" si="47"/>
        <v>141.86567164179104</v>
      </c>
      <c r="CQ11" s="183">
        <f t="shared" si="47"/>
        <v>276.76470588235293</v>
      </c>
      <c r="CR11" s="183">
        <f t="shared" si="47"/>
        <v>323.81395348837208</v>
      </c>
      <c r="CS11" s="183">
        <f t="shared" si="47"/>
        <v>255.54744525547446</v>
      </c>
      <c r="CT11" s="215">
        <f>CT8/CT3</f>
        <v>114.82014388489209</v>
      </c>
      <c r="CW11" s="214">
        <f>CW8/CW3</f>
        <v>0</v>
      </c>
      <c r="CX11" s="183">
        <f t="shared" ref="CX11:DB11" si="48">CX8/CX3</f>
        <v>231.3219616204691</v>
      </c>
      <c r="CY11" s="183">
        <f t="shared" si="48"/>
        <v>231.93617021276594</v>
      </c>
      <c r="CZ11" s="183">
        <f t="shared" si="48"/>
        <v>213.51219512195121</v>
      </c>
      <c r="DA11" s="183">
        <f t="shared" si="48"/>
        <v>290.41353383458647</v>
      </c>
      <c r="DB11" s="183">
        <f t="shared" si="48"/>
        <v>210.33333333333334</v>
      </c>
      <c r="DC11" s="215">
        <f>DC8/DC3</f>
        <v>215.5263157894737</v>
      </c>
      <c r="DF11" s="214">
        <f>DF8/DF3</f>
        <v>233.03272352486471</v>
      </c>
      <c r="DG11" s="183">
        <f t="shared" ref="DG11:DK11" si="49">DG8/DG3</f>
        <v>223.93229166666669</v>
      </c>
      <c r="DH11" s="183">
        <f t="shared" si="49"/>
        <v>204.21052631578948</v>
      </c>
      <c r="DI11" s="183">
        <f t="shared" si="49"/>
        <v>349.78947368421052</v>
      </c>
      <c r="DJ11" s="183" t="e">
        <f t="shared" si="49"/>
        <v>#DIV/0!</v>
      </c>
      <c r="DK11" s="183" t="e">
        <f t="shared" si="49"/>
        <v>#DIV/0!</v>
      </c>
      <c r="DL11" s="215" t="e">
        <f>DL8/DL3</f>
        <v>#DIV/0!</v>
      </c>
      <c r="DO11" s="214" t="e">
        <f>DO8/DO3</f>
        <v>#DIV/0!</v>
      </c>
      <c r="DP11" s="183" t="e">
        <f t="shared" ref="DP11:DT11" si="50">DP8/DP3</f>
        <v>#DIV/0!</v>
      </c>
      <c r="DQ11" s="183" t="e">
        <f t="shared" si="50"/>
        <v>#DIV/0!</v>
      </c>
      <c r="DR11" s="183" t="e">
        <f t="shared" si="50"/>
        <v>#DIV/0!</v>
      </c>
      <c r="DS11" s="183" t="e">
        <f t="shared" si="50"/>
        <v>#DIV/0!</v>
      </c>
      <c r="DT11" s="183" t="e">
        <f t="shared" si="50"/>
        <v>#DIV/0!</v>
      </c>
      <c r="DU11" s="215" t="e">
        <f>DU8/DU3</f>
        <v>#DIV/0!</v>
      </c>
      <c r="DX11" s="214">
        <f>IF(ISNUMBER(DX3), DX8/DX3,)</f>
        <v>238.2</v>
      </c>
      <c r="DY11" s="214">
        <f t="shared" ref="DY11:ED11" si="51">IF(ISNUMBER(DY3), DY8/DY3,)</f>
        <v>334.23076923076923</v>
      </c>
      <c r="DZ11" s="214">
        <f t="shared" si="51"/>
        <v>88</v>
      </c>
      <c r="EA11" s="214">
        <f t="shared" si="51"/>
        <v>0</v>
      </c>
      <c r="EB11" s="214">
        <f t="shared" si="51"/>
        <v>0</v>
      </c>
      <c r="EC11" s="214">
        <f t="shared" si="51"/>
        <v>0</v>
      </c>
      <c r="ED11" s="214">
        <f t="shared" si="51"/>
        <v>0</v>
      </c>
      <c r="EG11" s="214">
        <f>IF(ISNUMBER(EG3), EG8/EG3,)</f>
        <v>0</v>
      </c>
      <c r="EH11" s="214">
        <f t="shared" ref="EH11:EM11" si="52">IF(ISNUMBER(EH3), EH8/EH3,)</f>
        <v>0</v>
      </c>
      <c r="EI11" s="214">
        <f t="shared" si="52"/>
        <v>0</v>
      </c>
      <c r="EJ11" s="214">
        <f t="shared" si="52"/>
        <v>0</v>
      </c>
      <c r="EK11" s="214">
        <f t="shared" si="52"/>
        <v>0</v>
      </c>
      <c r="EL11" s="214">
        <f t="shared" si="52"/>
        <v>0</v>
      </c>
      <c r="EM11" s="214">
        <f t="shared" si="52"/>
        <v>0</v>
      </c>
      <c r="EN11"/>
      <c r="EP11" s="214">
        <f>IF(ISNUMBER(EP3), EP8/EP3,)</f>
        <v>259.7802197802198</v>
      </c>
      <c r="EQ11" s="214">
        <f t="shared" ref="EQ11:EV11" si="53">IF(ISNUMBER(EQ3), EQ8/EQ3,)</f>
        <v>200.69486404833836</v>
      </c>
      <c r="ER11" s="214">
        <f t="shared" si="53"/>
        <v>232.55144032921811</v>
      </c>
      <c r="ES11" s="214">
        <f t="shared" si="53"/>
        <v>211.1139240506329</v>
      </c>
      <c r="ET11" s="214">
        <f t="shared" si="53"/>
        <v>206.53488372093022</v>
      </c>
      <c r="EU11" s="214">
        <f t="shared" si="53"/>
        <v>198.7192118226601</v>
      </c>
      <c r="EV11" s="214">
        <f t="shared" si="53"/>
        <v>267.21362229102169</v>
      </c>
      <c r="EW11"/>
    </row>
    <row r="12" spans="1:153" ht="15.6" x14ac:dyDescent="0.3">
      <c r="A12" s="654">
        <v>15</v>
      </c>
      <c r="B12" s="795"/>
      <c r="C12" s="766" t="s">
        <v>141</v>
      </c>
      <c r="D12" s="767"/>
      <c r="E12" s="768"/>
      <c r="F12" s="181" t="s">
        <v>60</v>
      </c>
      <c r="G12" s="182"/>
      <c r="H12" s="166"/>
      <c r="I12" s="183">
        <f t="shared" ref="I12:O12" si="54">I4/I3</f>
        <v>169.51171875</v>
      </c>
      <c r="J12" s="183">
        <f t="shared" si="54"/>
        <v>2083.0010582010586</v>
      </c>
      <c r="K12" s="183">
        <f t="shared" si="54"/>
        <v>852.30860215053769</v>
      </c>
      <c r="L12" s="183">
        <f t="shared" si="54"/>
        <v>2537.3044642857144</v>
      </c>
      <c r="M12" s="183">
        <f t="shared" si="54"/>
        <v>8074.8307692307699</v>
      </c>
      <c r="N12" s="183" t="e">
        <f t="shared" si="54"/>
        <v>#DIV/0!</v>
      </c>
      <c r="O12" s="184" t="e">
        <f t="shared" si="54"/>
        <v>#DIV/0!</v>
      </c>
      <c r="P12" s="172"/>
      <c r="Q12" s="185">
        <f t="shared" ref="Q12:W12" si="55">Q4/Q3</f>
        <v>6419.9184210526319</v>
      </c>
      <c r="R12" s="183">
        <f t="shared" si="55"/>
        <v>870.9382978723404</v>
      </c>
      <c r="S12" s="183">
        <f t="shared" si="55"/>
        <v>764.68300970873781</v>
      </c>
      <c r="T12" s="183">
        <f t="shared" si="55"/>
        <v>987.94425087108016</v>
      </c>
      <c r="U12" s="183">
        <f t="shared" si="55"/>
        <v>1758.9134920634922</v>
      </c>
      <c r="V12" s="183" t="e">
        <f t="shared" si="55"/>
        <v>#DIV/0!</v>
      </c>
      <c r="W12" s="183" t="e">
        <f t="shared" si="55"/>
        <v>#DIV/0!</v>
      </c>
      <c r="X12" s="172"/>
      <c r="Y12" s="183">
        <f t="shared" ref="Y12:AE12" si="56">Y4/Y3</f>
        <v>1101.7287234042553</v>
      </c>
      <c r="Z12" s="183">
        <f t="shared" si="56"/>
        <v>798.94568965517249</v>
      </c>
      <c r="AA12" s="183">
        <f t="shared" si="56"/>
        <v>853.35225225225236</v>
      </c>
      <c r="AB12" s="183">
        <f t="shared" si="56"/>
        <v>1176.7327205882355</v>
      </c>
      <c r="AC12" s="183">
        <f t="shared" si="56"/>
        <v>4837.3590909090908</v>
      </c>
      <c r="AD12" s="183" t="e">
        <f t="shared" si="56"/>
        <v>#DIV/0!</v>
      </c>
      <c r="AE12" s="183" t="e">
        <f t="shared" si="56"/>
        <v>#DIV/0!</v>
      </c>
      <c r="AG12" s="183">
        <f t="shared" ref="AG12:AM12" si="57">AG4/AG3</f>
        <v>1075.402310231023</v>
      </c>
      <c r="AH12" s="183">
        <f t="shared" si="57"/>
        <v>853.4145336225597</v>
      </c>
      <c r="AI12" s="183">
        <f t="shared" si="57"/>
        <v>0</v>
      </c>
      <c r="AJ12" s="183">
        <f t="shared" si="57"/>
        <v>1190.3463999999999</v>
      </c>
      <c r="AK12" s="183">
        <f t="shared" si="57"/>
        <v>0</v>
      </c>
      <c r="AL12" s="183" t="e">
        <f t="shared" si="57"/>
        <v>#DIV/0!</v>
      </c>
      <c r="AM12" s="183" t="e">
        <f t="shared" si="57"/>
        <v>#DIV/0!</v>
      </c>
      <c r="AO12" s="183" t="e">
        <f t="shared" ref="AO12:AU12" si="58">AO4/AO3</f>
        <v>#DIV/0!</v>
      </c>
      <c r="AP12" s="183">
        <f t="shared" si="58"/>
        <v>969.05184135977345</v>
      </c>
      <c r="AQ12" s="183">
        <f t="shared" si="58"/>
        <v>646.81021505376339</v>
      </c>
      <c r="AR12" s="183">
        <f t="shared" si="58"/>
        <v>138.44703389830508</v>
      </c>
      <c r="AS12" s="183">
        <f t="shared" si="58"/>
        <v>6111.7975308641971</v>
      </c>
      <c r="AT12" s="183">
        <f t="shared" si="58"/>
        <v>8441.6166666666668</v>
      </c>
      <c r="AU12" s="183" t="e">
        <f t="shared" si="58"/>
        <v>#DIV/0!</v>
      </c>
      <c r="AW12" s="183">
        <f t="shared" ref="AW12:BC12" si="59">AW4/AW3</f>
        <v>0</v>
      </c>
      <c r="AX12" s="183">
        <f t="shared" si="59"/>
        <v>821.58159340659347</v>
      </c>
      <c r="AY12" s="183">
        <f t="shared" si="59"/>
        <v>917.85933333333332</v>
      </c>
      <c r="AZ12" s="183">
        <f t="shared" si="59"/>
        <v>1106.7491869918699</v>
      </c>
      <c r="BA12" s="183">
        <f t="shared" si="59"/>
        <v>2215.9684782608697</v>
      </c>
      <c r="BB12" s="183" t="e">
        <f t="shared" si="59"/>
        <v>#DIV/0!</v>
      </c>
      <c r="BC12" s="183" t="e">
        <f t="shared" si="59"/>
        <v>#DIV/0!</v>
      </c>
      <c r="BE12" s="214">
        <f t="shared" ref="BE12:BK12" si="60">BE4/BE3</f>
        <v>1001.988064516129</v>
      </c>
      <c r="BF12" s="183">
        <f t="shared" si="60"/>
        <v>760.42217194570139</v>
      </c>
      <c r="BG12" s="183">
        <f t="shared" si="60"/>
        <v>642.98384279475988</v>
      </c>
      <c r="BH12" s="183">
        <f t="shared" si="60"/>
        <v>1025.6500000000001</v>
      </c>
      <c r="BI12" s="183">
        <f t="shared" si="60"/>
        <v>35355.440000000002</v>
      </c>
      <c r="BJ12" s="183" t="e">
        <f t="shared" si="60"/>
        <v>#DIV/0!</v>
      </c>
      <c r="BK12" s="215" t="e">
        <f t="shared" si="60"/>
        <v>#DIV/0!</v>
      </c>
      <c r="BM12" s="214">
        <f t="shared" ref="BM12:BS12" si="61">BM4/BM3</f>
        <v>1279.3406779661016</v>
      </c>
      <c r="BN12" s="183">
        <f t="shared" si="61"/>
        <v>895.57311557788944</v>
      </c>
      <c r="BO12" s="183">
        <f t="shared" si="61"/>
        <v>997.14132492113572</v>
      </c>
      <c r="BP12" s="183">
        <f t="shared" si="61"/>
        <v>1154.106640625</v>
      </c>
      <c r="BQ12" s="183">
        <f t="shared" si="61"/>
        <v>1595.4090322580646</v>
      </c>
      <c r="BR12" s="183">
        <f t="shared" si="61"/>
        <v>7957.6785714285716</v>
      </c>
      <c r="BS12" s="215" t="e">
        <f t="shared" si="61"/>
        <v>#DIV/0!</v>
      </c>
      <c r="BV12" s="214">
        <f t="shared" ref="BV12:CB12" si="62">BV4/BV3</f>
        <v>558.95947521865901</v>
      </c>
      <c r="BW12" s="183">
        <f t="shared" si="62"/>
        <v>39.612672811059909</v>
      </c>
      <c r="BX12" s="183">
        <f t="shared" si="62"/>
        <v>833.33333333333337</v>
      </c>
      <c r="BY12" s="183">
        <f t="shared" si="62"/>
        <v>827.97384105960271</v>
      </c>
      <c r="BZ12" s="183">
        <f t="shared" si="62"/>
        <v>1560.1274999999998</v>
      </c>
      <c r="CA12" s="183">
        <f t="shared" si="62"/>
        <v>1410.9569620253162</v>
      </c>
      <c r="CB12" s="215">
        <f t="shared" si="62"/>
        <v>697.82077922077929</v>
      </c>
      <c r="CE12" s="214">
        <f t="shared" ref="CE12:CK12" si="63">CE4/CE3</f>
        <v>68.996308724832218</v>
      </c>
      <c r="CF12" s="183">
        <f t="shared" si="63"/>
        <v>860.96159420289848</v>
      </c>
      <c r="CG12" s="183">
        <f t="shared" si="63"/>
        <v>654.97841191067005</v>
      </c>
      <c r="CH12" s="183">
        <f t="shared" si="63"/>
        <v>662.65792079207927</v>
      </c>
      <c r="CI12" s="183">
        <f t="shared" si="63"/>
        <v>1121.4427860696517</v>
      </c>
      <c r="CJ12" s="183">
        <f t="shared" si="63"/>
        <v>954.82352941176475</v>
      </c>
      <c r="CK12" s="215">
        <f t="shared" si="63"/>
        <v>841.12582781456956</v>
      </c>
      <c r="CN12" s="214" t="e">
        <f t="shared" ref="CN12:CT12" si="64">CN4/CN3</f>
        <v>#DIV/0!</v>
      </c>
      <c r="CO12" s="183">
        <f t="shared" si="64"/>
        <v>569.18104448742747</v>
      </c>
      <c r="CP12" s="550">
        <f t="shared" si="64"/>
        <v>392.17182835820893</v>
      </c>
      <c r="CQ12" s="183">
        <f t="shared" si="64"/>
        <v>791.93382352941171</v>
      </c>
      <c r="CR12" s="183">
        <f t="shared" si="64"/>
        <v>986.38232558139543</v>
      </c>
      <c r="CS12" s="549">
        <f t="shared" si="64"/>
        <v>1034.2430656934307</v>
      </c>
      <c r="CT12" s="215">
        <f t="shared" si="64"/>
        <v>659.59064748201433</v>
      </c>
      <c r="CW12" s="214">
        <f t="shared" ref="CW12:DC12" si="65">CW4/CW3</f>
        <v>54.804021447721183</v>
      </c>
      <c r="CX12" s="183">
        <f t="shared" si="65"/>
        <v>751.94029850746267</v>
      </c>
      <c r="CY12" s="183">
        <f t="shared" si="65"/>
        <v>675.05063829787241</v>
      </c>
      <c r="CZ12" s="183">
        <f t="shared" si="65"/>
        <v>699.04048780487801</v>
      </c>
      <c r="DA12" s="183">
        <f t="shared" si="65"/>
        <v>913.85338345864659</v>
      </c>
      <c r="DB12" s="183">
        <f t="shared" si="65"/>
        <v>1287.5941666666665</v>
      </c>
      <c r="DC12" s="215">
        <f t="shared" si="65"/>
        <v>1484.5684210526315</v>
      </c>
      <c r="DF12" s="214">
        <f t="shared" ref="DF12:DL12" si="66">DF4/DF3</f>
        <v>668.53027570213862</v>
      </c>
      <c r="DG12" s="183">
        <f t="shared" si="66"/>
        <v>712.55442708333339</v>
      </c>
      <c r="DH12" s="183">
        <f t="shared" si="66"/>
        <v>579.66754385964907</v>
      </c>
      <c r="DI12" s="183">
        <f t="shared" si="66"/>
        <v>994.26789473684209</v>
      </c>
      <c r="DJ12" s="183" t="e">
        <f t="shared" si="66"/>
        <v>#DIV/0!</v>
      </c>
      <c r="DK12" s="183" t="e">
        <f t="shared" si="66"/>
        <v>#DIV/0!</v>
      </c>
      <c r="DL12" s="215" t="e">
        <f t="shared" si="66"/>
        <v>#DIV/0!</v>
      </c>
      <c r="DO12" s="214" t="e">
        <f t="shared" ref="DO12:DU12" si="67">DO4/DO3</f>
        <v>#DIV/0!</v>
      </c>
      <c r="DP12" s="183" t="e">
        <f t="shared" si="67"/>
        <v>#DIV/0!</v>
      </c>
      <c r="DQ12" s="183" t="e">
        <f t="shared" si="67"/>
        <v>#DIV/0!</v>
      </c>
      <c r="DR12" s="183" t="e">
        <f t="shared" si="67"/>
        <v>#DIV/0!</v>
      </c>
      <c r="DS12" s="183" t="e">
        <f t="shared" si="67"/>
        <v>#DIV/0!</v>
      </c>
      <c r="DT12" s="183" t="e">
        <f t="shared" si="67"/>
        <v>#DIV/0!</v>
      </c>
      <c r="DU12" s="215" t="e">
        <f t="shared" si="67"/>
        <v>#DIV/0!</v>
      </c>
      <c r="DX12" s="214">
        <f>IF(ISNUMBER(DX3),DX4/DX3,)</f>
        <v>731.8223214285714</v>
      </c>
      <c r="DY12" s="214">
        <f t="shared" ref="DY12:ED12" si="68">IF(ISNUMBER(DY3),DY4/DY3,)</f>
        <v>1034.4543269230769</v>
      </c>
      <c r="DZ12" s="214">
        <f t="shared" si="68"/>
        <v>847.765625</v>
      </c>
      <c r="EA12" s="214">
        <f t="shared" si="68"/>
        <v>0</v>
      </c>
      <c r="EB12" s="214">
        <f t="shared" si="68"/>
        <v>0</v>
      </c>
      <c r="EC12" s="214">
        <f t="shared" si="68"/>
        <v>0</v>
      </c>
      <c r="ED12" s="214">
        <f t="shared" si="68"/>
        <v>0</v>
      </c>
      <c r="EG12" s="214">
        <f>IF(ISNUMBER(EG3),EG4/EG3,)</f>
        <v>0</v>
      </c>
      <c r="EH12" s="214">
        <f t="shared" ref="EH12:EM12" si="69">IF(ISNUMBER(EH3),EH4/EH3,)</f>
        <v>0</v>
      </c>
      <c r="EI12" s="214">
        <f t="shared" si="69"/>
        <v>0</v>
      </c>
      <c r="EJ12" s="214">
        <f t="shared" si="69"/>
        <v>0</v>
      </c>
      <c r="EK12" s="214">
        <f t="shared" si="69"/>
        <v>0</v>
      </c>
      <c r="EL12" s="214">
        <f t="shared" si="69"/>
        <v>0</v>
      </c>
      <c r="EM12" s="214">
        <f t="shared" si="69"/>
        <v>0</v>
      </c>
      <c r="EN12"/>
      <c r="EP12" s="214">
        <f>IF(ISNUMBER(EP3),EP4/EP3,)</f>
        <v>853.34134615384608</v>
      </c>
      <c r="EQ12" s="214">
        <f t="shared" ref="EQ12:EV12" si="70">IF(ISNUMBER(EQ3),EQ4/EQ3,)</f>
        <v>679.2635951661631</v>
      </c>
      <c r="ER12" s="214">
        <f t="shared" si="70"/>
        <v>801.57664609053495</v>
      </c>
      <c r="ES12" s="214">
        <f t="shared" si="70"/>
        <v>744.96598101265818</v>
      </c>
      <c r="ET12" s="214">
        <f t="shared" si="70"/>
        <v>672.06831395348843</v>
      </c>
      <c r="EU12" s="214">
        <f t="shared" si="70"/>
        <v>655.73429802955661</v>
      </c>
      <c r="EV12" s="214">
        <f t="shared" si="70"/>
        <v>738.74903250774003</v>
      </c>
      <c r="EW12"/>
    </row>
    <row r="13" spans="1:153" ht="15.6" x14ac:dyDescent="0.3">
      <c r="A13" s="654">
        <v>16</v>
      </c>
      <c r="B13" s="795"/>
      <c r="C13" s="766" t="s">
        <v>142</v>
      </c>
      <c r="D13" s="767"/>
      <c r="E13" s="768"/>
      <c r="F13" s="181" t="s">
        <v>60</v>
      </c>
      <c r="G13" s="182"/>
      <c r="H13" s="166"/>
      <c r="I13" s="183">
        <f t="shared" ref="I13:O13" si="71">I5/I3</f>
        <v>169.51171875</v>
      </c>
      <c r="J13" s="183">
        <f t="shared" si="71"/>
        <v>882.76455026455028</v>
      </c>
      <c r="K13" s="183">
        <f t="shared" si="71"/>
        <v>171.74731182795699</v>
      </c>
      <c r="L13" s="183">
        <f t="shared" si="71"/>
        <v>1136.5517857142856</v>
      </c>
      <c r="M13" s="183">
        <f t="shared" si="71"/>
        <v>3629.8076923076924</v>
      </c>
      <c r="N13" s="183" t="e">
        <f t="shared" si="71"/>
        <v>#DIV/0!</v>
      </c>
      <c r="O13" s="184" t="e">
        <f t="shared" si="71"/>
        <v>#DIV/0!</v>
      </c>
      <c r="P13" s="172"/>
      <c r="Q13" s="185">
        <f t="shared" ref="Q13:W13" si="72">Q5/Q3</f>
        <v>2832.0736842105262</v>
      </c>
      <c r="R13" s="183">
        <f t="shared" si="72"/>
        <v>364.88856382978719</v>
      </c>
      <c r="S13" s="183">
        <f t="shared" si="72"/>
        <v>324.41140776699029</v>
      </c>
      <c r="T13" s="183">
        <f t="shared" si="72"/>
        <v>432.2473867595819</v>
      </c>
      <c r="U13" s="183">
        <f t="shared" si="72"/>
        <v>773.74523809523816</v>
      </c>
      <c r="V13" s="183" t="e">
        <f t="shared" si="72"/>
        <v>#DIV/0!</v>
      </c>
      <c r="W13" s="183" t="e">
        <f t="shared" si="72"/>
        <v>#DIV/0!</v>
      </c>
      <c r="X13" s="172"/>
      <c r="Y13" s="183">
        <f t="shared" ref="Y13:AE13" si="73">Y5/Y3</f>
        <v>482.5776595744681</v>
      </c>
      <c r="Z13" s="183">
        <f t="shared" si="73"/>
        <v>361.93074712643681</v>
      </c>
      <c r="AA13" s="183">
        <f t="shared" si="73"/>
        <v>374.30000000000007</v>
      </c>
      <c r="AB13" s="183">
        <f t="shared" si="73"/>
        <v>498.4580882352941</v>
      </c>
      <c r="AC13" s="183">
        <f t="shared" si="73"/>
        <v>2214.1613636363631</v>
      </c>
      <c r="AD13" s="183" t="e">
        <f t="shared" si="73"/>
        <v>#DIV/0!</v>
      </c>
      <c r="AE13" s="183" t="e">
        <f t="shared" si="73"/>
        <v>#DIV/0!</v>
      </c>
      <c r="AG13" s="183">
        <f t="shared" ref="AG13:AM13" si="74">AG5/AG3</f>
        <v>431.51188118811876</v>
      </c>
      <c r="AH13" s="183">
        <f t="shared" si="74"/>
        <v>338.91127982646418</v>
      </c>
      <c r="AI13" s="183">
        <f t="shared" si="74"/>
        <v>0</v>
      </c>
      <c r="AJ13" s="183">
        <f t="shared" si="74"/>
        <v>542.92999999999995</v>
      </c>
      <c r="AK13" s="183">
        <f t="shared" si="74"/>
        <v>0</v>
      </c>
      <c r="AL13" s="183" t="e">
        <f t="shared" si="74"/>
        <v>#DIV/0!</v>
      </c>
      <c r="AM13" s="183" t="e">
        <f t="shared" si="74"/>
        <v>#DIV/0!</v>
      </c>
      <c r="AO13" s="183" t="e">
        <f t="shared" ref="AO13:AU13" si="75">AO5/AO3</f>
        <v>#DIV/0!</v>
      </c>
      <c r="AP13" s="183">
        <f t="shared" si="75"/>
        <v>397.16543909348445</v>
      </c>
      <c r="AQ13" s="183">
        <f t="shared" si="75"/>
        <v>256.76424731182794</v>
      </c>
      <c r="AR13" s="183">
        <f t="shared" si="75"/>
        <v>89.55</v>
      </c>
      <c r="AS13" s="183">
        <f t="shared" si="75"/>
        <v>2634.3679012345683</v>
      </c>
      <c r="AT13" s="183">
        <f t="shared" si="75"/>
        <v>2739.0666666666671</v>
      </c>
      <c r="AU13" s="183" t="e">
        <f t="shared" si="75"/>
        <v>#DIV/0!</v>
      </c>
      <c r="AW13" s="183">
        <f t="shared" ref="AW13:BC13" si="76">AW5/AW3</f>
        <v>0</v>
      </c>
      <c r="AX13" s="183">
        <f t="shared" si="76"/>
        <v>328.17829670329672</v>
      </c>
      <c r="AY13" s="183">
        <f t="shared" si="76"/>
        <v>379.91033333333331</v>
      </c>
      <c r="AZ13" s="183">
        <f t="shared" si="76"/>
        <v>431.02642276422762</v>
      </c>
      <c r="BA13" s="183">
        <f t="shared" si="76"/>
        <v>962.27608695652191</v>
      </c>
      <c r="BB13" s="183" t="e">
        <f t="shared" si="76"/>
        <v>#DIV/0!</v>
      </c>
      <c r="BC13" s="184" t="e">
        <f t="shared" si="76"/>
        <v>#DIV/0!</v>
      </c>
      <c r="BE13" s="214">
        <f t="shared" ref="BE13:BK13" si="77">BE5/BE3</f>
        <v>418.70161290322579</v>
      </c>
      <c r="BF13" s="183">
        <f t="shared" si="77"/>
        <v>305.96719457013575</v>
      </c>
      <c r="BG13" s="183">
        <f t="shared" si="77"/>
        <v>262.60240174672492</v>
      </c>
      <c r="BH13" s="183">
        <f t="shared" si="77"/>
        <v>427.54045801526718</v>
      </c>
      <c r="BI13" s="183">
        <f t="shared" si="77"/>
        <v>14939.38</v>
      </c>
      <c r="BJ13" s="183" t="e">
        <f t="shared" si="77"/>
        <v>#DIV/0!</v>
      </c>
      <c r="BK13" s="215" t="e">
        <f t="shared" si="77"/>
        <v>#DIV/0!</v>
      </c>
      <c r="BM13" s="214">
        <f t="shared" ref="BM13:BS13" si="78">BM5/BM3</f>
        <v>526.32161016949146</v>
      </c>
      <c r="BN13" s="183">
        <f t="shared" si="78"/>
        <v>366.55778894472365</v>
      </c>
      <c r="BO13" s="183">
        <f t="shared" si="78"/>
        <v>404.91924290220823</v>
      </c>
      <c r="BP13" s="183">
        <f t="shared" si="78"/>
        <v>470.419921875</v>
      </c>
      <c r="BQ13" s="183">
        <f t="shared" si="78"/>
        <v>694.87096774193549</v>
      </c>
      <c r="BR13" s="183">
        <f t="shared" si="78"/>
        <v>3904.957142857143</v>
      </c>
      <c r="BS13" s="215" t="e">
        <f t="shared" si="78"/>
        <v>#DIV/0!</v>
      </c>
      <c r="BV13" s="214">
        <f t="shared" ref="BV13:CB13" si="79">BV5/BV3</f>
        <v>251.9387755102041</v>
      </c>
      <c r="BW13" s="183">
        <f t="shared" si="79"/>
        <v>49.141705069124427</v>
      </c>
      <c r="BX13" s="183">
        <f t="shared" si="79"/>
        <v>380.95238095238096</v>
      </c>
      <c r="BY13" s="183">
        <f t="shared" si="79"/>
        <v>373.11258278145698</v>
      </c>
      <c r="BZ13" s="183">
        <f t="shared" si="79"/>
        <v>782.13</v>
      </c>
      <c r="CA13" s="183">
        <f t="shared" si="79"/>
        <v>761.95443037974678</v>
      </c>
      <c r="CB13" s="215">
        <f t="shared" si="79"/>
        <v>428.20649350649353</v>
      </c>
      <c r="CE13" s="214">
        <f t="shared" ref="CE13:CK13" si="80">CE5/CE3</f>
        <v>69.179865771812075</v>
      </c>
      <c r="CF13" s="183">
        <f t="shared" si="80"/>
        <v>352.39130434782612</v>
      </c>
      <c r="CG13" s="183">
        <f t="shared" si="80"/>
        <v>325.23101736972706</v>
      </c>
      <c r="CH13" s="183">
        <f t="shared" si="80"/>
        <v>324.88564356435643</v>
      </c>
      <c r="CI13" s="183">
        <f t="shared" si="80"/>
        <v>574.57711442786069</v>
      </c>
      <c r="CJ13" s="183">
        <f t="shared" si="80"/>
        <v>451.1764705882353</v>
      </c>
      <c r="CK13" s="215">
        <f t="shared" si="80"/>
        <v>407.68211920529802</v>
      </c>
      <c r="CN13" s="214" t="e">
        <f t="shared" ref="CN13:CT13" si="81">CN5/CN3</f>
        <v>#DIV/0!</v>
      </c>
      <c r="CO13" s="183">
        <f t="shared" si="81"/>
        <v>267.88201160541587</v>
      </c>
      <c r="CP13" s="183">
        <f t="shared" si="81"/>
        <v>135.36623134328357</v>
      </c>
      <c r="CQ13" s="183">
        <f t="shared" si="81"/>
        <v>382.3952941176471</v>
      </c>
      <c r="CR13" s="183">
        <f t="shared" si="81"/>
        <v>471.93906976744188</v>
      </c>
      <c r="CS13" s="183">
        <f t="shared" si="81"/>
        <v>482.71897810218979</v>
      </c>
      <c r="CT13" s="215">
        <f t="shared" si="81"/>
        <v>319.86043165467629</v>
      </c>
      <c r="CW13" s="214">
        <f t="shared" ref="CW13:DC13" si="82">CW5/CW3</f>
        <v>54.934584450402149</v>
      </c>
      <c r="CX13" s="183">
        <f t="shared" si="82"/>
        <v>295.29850746268659</v>
      </c>
      <c r="CY13" s="183">
        <f t="shared" si="82"/>
        <v>323.42829787234041</v>
      </c>
      <c r="CZ13" s="183">
        <f t="shared" si="82"/>
        <v>344.14780487804876</v>
      </c>
      <c r="DA13" s="183">
        <f t="shared" si="82"/>
        <v>441.49924812030071</v>
      </c>
      <c r="DB13" s="183">
        <f t="shared" si="82"/>
        <v>531.21916666666664</v>
      </c>
      <c r="DC13" s="215">
        <f t="shared" si="82"/>
        <v>585.02499999999998</v>
      </c>
      <c r="DF13" s="214">
        <f t="shared" ref="DF13:DL13" si="83">DF5/DF3</f>
        <v>332.45143004380316</v>
      </c>
      <c r="DG13" s="183">
        <f t="shared" si="83"/>
        <v>351.09062499999999</v>
      </c>
      <c r="DH13" s="183">
        <f t="shared" si="83"/>
        <v>274.70526315789471</v>
      </c>
      <c r="DI13" s="183">
        <f t="shared" si="83"/>
        <v>544.48368421052635</v>
      </c>
      <c r="DJ13" s="183" t="e">
        <f t="shared" si="83"/>
        <v>#DIV/0!</v>
      </c>
      <c r="DK13" s="183" t="e">
        <f t="shared" si="83"/>
        <v>#DIV/0!</v>
      </c>
      <c r="DL13" s="215" t="e">
        <f t="shared" si="83"/>
        <v>#DIV/0!</v>
      </c>
      <c r="DO13" s="214" t="e">
        <f t="shared" ref="DO13:DU13" si="84">DO5/DO3</f>
        <v>#DIV/0!</v>
      </c>
      <c r="DP13" s="183" t="e">
        <f t="shared" si="84"/>
        <v>#DIV/0!</v>
      </c>
      <c r="DQ13" s="183" t="e">
        <f t="shared" si="84"/>
        <v>#DIV/0!</v>
      </c>
      <c r="DR13" s="183" t="e">
        <f t="shared" si="84"/>
        <v>#DIV/0!</v>
      </c>
      <c r="DS13" s="183" t="e">
        <f t="shared" si="84"/>
        <v>#DIV/0!</v>
      </c>
      <c r="DT13" s="183" t="e">
        <f t="shared" si="84"/>
        <v>#DIV/0!</v>
      </c>
      <c r="DU13" s="215" t="e">
        <f t="shared" si="84"/>
        <v>#DIV/0!</v>
      </c>
      <c r="DX13" s="214">
        <f>IF(ISNUMBER(DX3),DX5/DX3,)</f>
        <v>255.55892857142857</v>
      </c>
      <c r="DY13" s="214">
        <f t="shared" ref="DY13:ED13" si="85">IF(ISNUMBER(DY3),DY5/DY3,)</f>
        <v>376.22355769230768</v>
      </c>
      <c r="DZ13" s="214">
        <f t="shared" si="85"/>
        <v>407.6171875</v>
      </c>
      <c r="EA13" s="214">
        <f t="shared" si="85"/>
        <v>0</v>
      </c>
      <c r="EB13" s="214">
        <f t="shared" si="85"/>
        <v>0</v>
      </c>
      <c r="EC13" s="214">
        <f t="shared" si="85"/>
        <v>0</v>
      </c>
      <c r="ED13" s="214">
        <f t="shared" si="85"/>
        <v>0</v>
      </c>
      <c r="EG13" s="214">
        <f>IF(ISNUMBER(EG3),EG5/EG3,)</f>
        <v>0</v>
      </c>
      <c r="EH13" s="214">
        <f t="shared" ref="EH13:EM13" si="86">IF(ISNUMBER(EH3),EH5/EH3,)</f>
        <v>0</v>
      </c>
      <c r="EI13" s="214">
        <f t="shared" si="86"/>
        <v>0</v>
      </c>
      <c r="EJ13" s="214">
        <f t="shared" si="86"/>
        <v>0</v>
      </c>
      <c r="EK13" s="214">
        <f t="shared" si="86"/>
        <v>0</v>
      </c>
      <c r="EL13" s="214">
        <f t="shared" si="86"/>
        <v>0</v>
      </c>
      <c r="EM13" s="214">
        <f t="shared" si="86"/>
        <v>0</v>
      </c>
      <c r="EN13"/>
      <c r="EP13" s="214">
        <f>IF(ISNUMBER(EP3),EP5/EP3,)</f>
        <v>368.00137362637361</v>
      </c>
      <c r="EQ13" s="214">
        <f t="shared" ref="EQ13:EV13" si="87">IF(ISNUMBER(EQ3),EQ5/EQ3,)</f>
        <v>305.39652567975827</v>
      </c>
      <c r="ER13" s="214">
        <f t="shared" si="87"/>
        <v>389.92798353909461</v>
      </c>
      <c r="ES13" s="214">
        <f t="shared" si="87"/>
        <v>320.09335443037975</v>
      </c>
      <c r="ET13" s="214">
        <f t="shared" si="87"/>
        <v>302.70348837209303</v>
      </c>
      <c r="EU13" s="214">
        <f t="shared" si="87"/>
        <v>286.63023399014776</v>
      </c>
      <c r="EV13" s="214">
        <f t="shared" si="87"/>
        <v>342.93537151702787</v>
      </c>
      <c r="EW13"/>
    </row>
    <row r="14" spans="1:153" ht="15.6" x14ac:dyDescent="0.3">
      <c r="A14" s="654">
        <v>17</v>
      </c>
      <c r="B14" s="795"/>
      <c r="C14" s="766" t="s">
        <v>143</v>
      </c>
      <c r="D14" s="767"/>
      <c r="E14" s="768"/>
      <c r="F14" s="181" t="s">
        <v>60</v>
      </c>
      <c r="G14" s="182"/>
      <c r="H14" s="166"/>
      <c r="I14" s="183">
        <f t="shared" ref="I14:O14" si="88">I6/I3</f>
        <v>0</v>
      </c>
      <c r="J14" s="183">
        <f t="shared" si="88"/>
        <v>1200.2365079365081</v>
      </c>
      <c r="K14" s="183">
        <f t="shared" si="88"/>
        <v>680.5612903225807</v>
      </c>
      <c r="L14" s="183">
        <f t="shared" si="88"/>
        <v>1400.7535714285716</v>
      </c>
      <c r="M14" s="183">
        <f t="shared" si="88"/>
        <v>4445.0230769230766</v>
      </c>
      <c r="N14" s="183" t="e">
        <f t="shared" si="88"/>
        <v>#DIV/0!</v>
      </c>
      <c r="O14" s="184" t="e">
        <f t="shared" si="88"/>
        <v>#DIV/0!</v>
      </c>
      <c r="P14" s="172"/>
      <c r="Q14" s="185">
        <f t="shared" ref="Q14:W14" si="89">Q6/Q3</f>
        <v>3587.8447368421052</v>
      </c>
      <c r="R14" s="183">
        <f t="shared" si="89"/>
        <v>506.04973404255321</v>
      </c>
      <c r="S14" s="183">
        <f t="shared" si="89"/>
        <v>440.27160194174752</v>
      </c>
      <c r="T14" s="183">
        <f t="shared" si="89"/>
        <v>555.69686411149826</v>
      </c>
      <c r="U14" s="183">
        <f t="shared" si="89"/>
        <v>985.16904761904755</v>
      </c>
      <c r="V14" s="183" t="e">
        <f t="shared" si="89"/>
        <v>#DIV/0!</v>
      </c>
      <c r="W14" s="183" t="e">
        <f t="shared" si="89"/>
        <v>#DIV/0!</v>
      </c>
      <c r="X14" s="172"/>
      <c r="Y14" s="183">
        <f t="shared" ref="Y14:AE14" si="90">Y6/Y3</f>
        <v>619.15106382978729</v>
      </c>
      <c r="Z14" s="183">
        <f t="shared" si="90"/>
        <v>437.01522988505747</v>
      </c>
      <c r="AA14" s="183">
        <f t="shared" si="90"/>
        <v>479.05225225225229</v>
      </c>
      <c r="AB14" s="183">
        <f t="shared" si="90"/>
        <v>678.27426470588239</v>
      </c>
      <c r="AC14" s="183">
        <f t="shared" si="90"/>
        <v>2623.1954545454541</v>
      </c>
      <c r="AD14" s="183" t="e">
        <f t="shared" si="90"/>
        <v>#DIV/0!</v>
      </c>
      <c r="AE14" s="183" t="e">
        <f t="shared" si="90"/>
        <v>#DIV/0!</v>
      </c>
      <c r="AG14" s="183">
        <f t="shared" ref="AG14:AM14" si="91">AG6/AG3</f>
        <v>643.89042904290432</v>
      </c>
      <c r="AH14" s="183">
        <f t="shared" si="91"/>
        <v>514.50303687635574</v>
      </c>
      <c r="AI14" s="183">
        <f t="shared" si="91"/>
        <v>0</v>
      </c>
      <c r="AJ14" s="183">
        <f t="shared" si="91"/>
        <v>647.41639999999995</v>
      </c>
      <c r="AK14" s="183">
        <f t="shared" si="91"/>
        <v>0</v>
      </c>
      <c r="AL14" s="183" t="e">
        <f t="shared" si="91"/>
        <v>#DIV/0!</v>
      </c>
      <c r="AM14" s="183" t="e">
        <f t="shared" si="91"/>
        <v>#DIV/0!</v>
      </c>
      <c r="AO14" s="183" t="e">
        <f t="shared" ref="AO14:AU14" si="92">AO6/AO3</f>
        <v>#DIV/0!</v>
      </c>
      <c r="AP14" s="183">
        <f t="shared" si="92"/>
        <v>571.886402266289</v>
      </c>
      <c r="AQ14" s="183">
        <f t="shared" si="92"/>
        <v>390.04623655913974</v>
      </c>
      <c r="AR14" s="183">
        <f t="shared" si="92"/>
        <v>48.897033898305082</v>
      </c>
      <c r="AS14" s="183">
        <f t="shared" si="92"/>
        <v>3477.4308641975308</v>
      </c>
      <c r="AT14" s="183">
        <f t="shared" si="92"/>
        <v>5702.55</v>
      </c>
      <c r="AU14" s="183" t="e">
        <f t="shared" si="92"/>
        <v>#DIV/0!</v>
      </c>
      <c r="AW14" s="183">
        <f t="shared" ref="AW14:BC14" si="93">AW6/AW3</f>
        <v>0</v>
      </c>
      <c r="AX14" s="183">
        <f t="shared" si="93"/>
        <v>493.40329670329675</v>
      </c>
      <c r="AY14" s="183">
        <f t="shared" si="93"/>
        <v>537.94899999999996</v>
      </c>
      <c r="AZ14" s="183">
        <f t="shared" si="93"/>
        <v>675.72276422764219</v>
      </c>
      <c r="BA14" s="183">
        <f t="shared" si="93"/>
        <v>1253.6923913043479</v>
      </c>
      <c r="BB14" s="183" t="e">
        <f t="shared" si="93"/>
        <v>#DIV/0!</v>
      </c>
      <c r="BC14" s="183" t="e">
        <f t="shared" si="93"/>
        <v>#DIV/0!</v>
      </c>
      <c r="BE14" s="214">
        <f t="shared" ref="BE14:BK14" si="94">BE6/BE3</f>
        <v>583.28645161290331</v>
      </c>
      <c r="BF14" s="183">
        <f t="shared" si="94"/>
        <v>454.45497737556559</v>
      </c>
      <c r="BG14" s="183">
        <f t="shared" si="94"/>
        <v>380.38144104803496</v>
      </c>
      <c r="BH14" s="183">
        <f t="shared" si="94"/>
        <v>598.1095419847328</v>
      </c>
      <c r="BI14" s="183">
        <f t="shared" si="94"/>
        <v>20416.060000000001</v>
      </c>
      <c r="BJ14" s="183" t="e">
        <f t="shared" si="94"/>
        <v>#DIV/0!</v>
      </c>
      <c r="BK14" s="215" t="e">
        <f t="shared" si="94"/>
        <v>#DIV/0!</v>
      </c>
      <c r="BM14" s="214">
        <f t="shared" ref="BM14:BS14" si="95">BM6/BM3</f>
        <v>753.0190677966101</v>
      </c>
      <c r="BN14" s="183">
        <f t="shared" si="95"/>
        <v>529.01532663316596</v>
      </c>
      <c r="BO14" s="183">
        <f t="shared" si="95"/>
        <v>592.22208201892738</v>
      </c>
      <c r="BP14" s="183">
        <f t="shared" si="95"/>
        <v>683.68671874999995</v>
      </c>
      <c r="BQ14" s="183">
        <f t="shared" si="95"/>
        <v>900.538064516129</v>
      </c>
      <c r="BR14" s="183">
        <f t="shared" si="95"/>
        <v>4052.721428571429</v>
      </c>
      <c r="BS14" s="215" t="e">
        <f t="shared" si="95"/>
        <v>#DIV/0!</v>
      </c>
      <c r="BV14" s="214">
        <f t="shared" ref="BV14:CB14" si="96">BV6/BV3</f>
        <v>307.0206997084548</v>
      </c>
      <c r="BW14" s="183">
        <f t="shared" si="96"/>
        <v>-9.5290322580645164</v>
      </c>
      <c r="BX14" s="183">
        <f t="shared" si="96"/>
        <v>900.20833333333337</v>
      </c>
      <c r="BY14" s="183">
        <f t="shared" si="96"/>
        <v>441.01192052980133</v>
      </c>
      <c r="BZ14" s="183">
        <f t="shared" si="96"/>
        <v>777.91666666666663</v>
      </c>
      <c r="CA14" s="183">
        <f t="shared" si="96"/>
        <v>649.00379746835438</v>
      </c>
      <c r="CB14" s="215">
        <f t="shared" si="96"/>
        <v>269.61428571428576</v>
      </c>
      <c r="CE14" s="214">
        <f t="shared" ref="CE14:CK14" si="97">CE6/CE3</f>
        <v>-0.18355704697986575</v>
      </c>
      <c r="CF14" s="183">
        <f t="shared" si="97"/>
        <v>648.5929951690822</v>
      </c>
      <c r="CG14" s="183">
        <f t="shared" si="97"/>
        <v>329.74714640198511</v>
      </c>
      <c r="CH14" s="183">
        <f t="shared" si="97"/>
        <v>337.77227722772284</v>
      </c>
      <c r="CI14" s="183">
        <f t="shared" si="97"/>
        <v>546.86567164179098</v>
      </c>
      <c r="CJ14" s="183">
        <f t="shared" si="97"/>
        <v>503.64705882352939</v>
      </c>
      <c r="CK14" s="215">
        <f t="shared" si="97"/>
        <v>433.44370860927154</v>
      </c>
      <c r="CN14" s="214" t="e">
        <f t="shared" ref="CN14:CT14" si="98">CN6/CN3</f>
        <v>#DIV/0!</v>
      </c>
      <c r="CO14" s="183">
        <f t="shared" si="98"/>
        <v>301.2990328820116</v>
      </c>
      <c r="CP14" s="183">
        <f t="shared" si="98"/>
        <v>206.30895522388059</v>
      </c>
      <c r="CQ14" s="183">
        <f t="shared" si="98"/>
        <v>409.53852941176467</v>
      </c>
      <c r="CR14" s="183">
        <f t="shared" si="98"/>
        <v>514.44325581395356</v>
      </c>
      <c r="CS14" s="183">
        <f t="shared" si="98"/>
        <v>551.52408759124091</v>
      </c>
      <c r="CT14" s="215">
        <f t="shared" si="98"/>
        <v>339.7302158273381</v>
      </c>
      <c r="CW14" s="214">
        <f t="shared" ref="CW14:DC14" si="99">CW6/CW3</f>
        <v>-0.13083109919571045</v>
      </c>
      <c r="CX14" s="183">
        <f t="shared" si="99"/>
        <v>332.13560767590621</v>
      </c>
      <c r="CY14" s="183">
        <f t="shared" si="99"/>
        <v>351.62234042553189</v>
      </c>
      <c r="CZ14" s="183">
        <f t="shared" si="99"/>
        <v>354.89268292682925</v>
      </c>
      <c r="DA14" s="183">
        <f t="shared" si="99"/>
        <v>472.35413533834588</v>
      </c>
      <c r="DB14" s="183">
        <f t="shared" si="99"/>
        <v>756.375</v>
      </c>
      <c r="DC14" s="215">
        <f t="shared" si="99"/>
        <v>899.54342105263163</v>
      </c>
      <c r="DF14" s="214">
        <f t="shared" ref="DF14:DL14" si="100">DF6/DF3</f>
        <v>336.07884565833547</v>
      </c>
      <c r="DG14" s="183">
        <f t="shared" si="100"/>
        <v>361.46380208333335</v>
      </c>
      <c r="DH14" s="183">
        <f t="shared" si="100"/>
        <v>304.96228070175437</v>
      </c>
      <c r="DI14" s="183">
        <f t="shared" si="100"/>
        <v>731.90947368421052</v>
      </c>
      <c r="DJ14" s="183" t="e">
        <f t="shared" si="100"/>
        <v>#DIV/0!</v>
      </c>
      <c r="DK14" s="183" t="e">
        <f t="shared" si="100"/>
        <v>#DIV/0!</v>
      </c>
      <c r="DL14" s="215" t="e">
        <f t="shared" si="100"/>
        <v>#DIV/0!</v>
      </c>
      <c r="DO14" s="214" t="e">
        <f t="shared" ref="DO14:DU14" si="101">DO6/DO3</f>
        <v>#DIV/0!</v>
      </c>
      <c r="DP14" s="183" t="e">
        <f t="shared" si="101"/>
        <v>#DIV/0!</v>
      </c>
      <c r="DQ14" s="183" t="e">
        <f t="shared" si="101"/>
        <v>#DIV/0!</v>
      </c>
      <c r="DR14" s="183" t="e">
        <f t="shared" si="101"/>
        <v>#DIV/0!</v>
      </c>
      <c r="DS14" s="183" t="e">
        <f t="shared" si="101"/>
        <v>#DIV/0!</v>
      </c>
      <c r="DT14" s="183" t="e">
        <f t="shared" si="101"/>
        <v>#DIV/0!</v>
      </c>
      <c r="DU14" s="215" t="e">
        <f t="shared" si="101"/>
        <v>#DIV/0!</v>
      </c>
      <c r="DX14" s="214">
        <f>IF(ISNUMBER(DX3),DX6/DX3,)</f>
        <v>476.26339285714283</v>
      </c>
      <c r="DY14" s="214">
        <f t="shared" ref="DY14:ED14" si="102">IF(ISNUMBER(DY3),DY6/DY3,)</f>
        <v>658.23076923076928</v>
      </c>
      <c r="DZ14" s="214">
        <f t="shared" si="102"/>
        <v>440.1484375</v>
      </c>
      <c r="EA14" s="214">
        <f t="shared" si="102"/>
        <v>0</v>
      </c>
      <c r="EB14" s="214">
        <f t="shared" si="102"/>
        <v>0</v>
      </c>
      <c r="EC14" s="214">
        <f t="shared" si="102"/>
        <v>0</v>
      </c>
      <c r="ED14" s="214">
        <f t="shared" si="102"/>
        <v>0</v>
      </c>
      <c r="EG14" s="214">
        <f>IF(ISNUMBER(EG3),EG6/EG3,)</f>
        <v>0</v>
      </c>
      <c r="EH14" s="214">
        <f t="shared" ref="EH14:EM14" si="103">IF(ISNUMBER(EH3),EH6/EH3,)</f>
        <v>0</v>
      </c>
      <c r="EI14" s="214">
        <f t="shared" si="103"/>
        <v>0</v>
      </c>
      <c r="EJ14" s="214">
        <f t="shared" si="103"/>
        <v>0</v>
      </c>
      <c r="EK14" s="214">
        <f t="shared" si="103"/>
        <v>0</v>
      </c>
      <c r="EL14" s="214">
        <f t="shared" si="103"/>
        <v>0</v>
      </c>
      <c r="EM14" s="214">
        <f t="shared" si="103"/>
        <v>0</v>
      </c>
      <c r="EN14"/>
      <c r="EP14" s="214">
        <f>IF(ISNUMBER(EP3),EP6/EP3,)</f>
        <v>485.33997252747253</v>
      </c>
      <c r="EQ14" s="214">
        <f t="shared" ref="EQ14:EV14" si="104">IF(ISNUMBER(EQ3),EQ6/EQ3,)</f>
        <v>373.86706948640483</v>
      </c>
      <c r="ER14" s="214">
        <f t="shared" si="104"/>
        <v>411.64866255144034</v>
      </c>
      <c r="ES14" s="214">
        <f t="shared" si="104"/>
        <v>424.87262658227849</v>
      </c>
      <c r="ET14" s="214">
        <f t="shared" si="104"/>
        <v>369.36482558139534</v>
      </c>
      <c r="EU14" s="214">
        <f t="shared" si="104"/>
        <v>369.10406403940885</v>
      </c>
      <c r="EV14" s="214">
        <f t="shared" si="104"/>
        <v>395.81366099071209</v>
      </c>
      <c r="EW14"/>
    </row>
    <row r="15" spans="1:153" ht="15.6" x14ac:dyDescent="0.3">
      <c r="A15" s="654">
        <v>18</v>
      </c>
      <c r="B15" s="795"/>
      <c r="C15" s="769" t="s">
        <v>144</v>
      </c>
      <c r="D15" s="770"/>
      <c r="E15" s="770"/>
      <c r="F15" s="784" t="s">
        <v>145</v>
      </c>
      <c r="G15" s="785"/>
      <c r="H15" s="166"/>
      <c r="I15" s="183">
        <f t="shared" ref="I15:O17" si="105">I4/1000</f>
        <v>2.1697500000000001</v>
      </c>
      <c r="J15" s="183">
        <f t="shared" si="105"/>
        <v>78.737440000000007</v>
      </c>
      <c r="K15" s="183">
        <f t="shared" si="105"/>
        <v>23.779409999999999</v>
      </c>
      <c r="L15" s="183">
        <f t="shared" si="105"/>
        <v>28.417810000000003</v>
      </c>
      <c r="M15" s="183">
        <f t="shared" si="105"/>
        <v>20.99456</v>
      </c>
      <c r="N15" s="183">
        <f t="shared" si="105"/>
        <v>10.67469</v>
      </c>
      <c r="O15" s="184">
        <f t="shared" si="105"/>
        <v>8.2515300000000007</v>
      </c>
      <c r="P15" s="172"/>
      <c r="Q15" s="185">
        <f t="shared" ref="Q15:W17" si="106">Q4/1000</f>
        <v>24.395689999999998</v>
      </c>
      <c r="R15" s="183">
        <f t="shared" si="106"/>
        <v>32.747279999999996</v>
      </c>
      <c r="S15" s="183">
        <f t="shared" si="106"/>
        <v>31.504939999999998</v>
      </c>
      <c r="T15" s="183">
        <f t="shared" si="106"/>
        <v>28.353999999999999</v>
      </c>
      <c r="U15" s="183">
        <f t="shared" si="106"/>
        <v>22.162310000000002</v>
      </c>
      <c r="V15" s="183">
        <f t="shared" si="106"/>
        <v>9.7906899999999997</v>
      </c>
      <c r="W15" s="183">
        <f t="shared" si="106"/>
        <v>8.143279999999999</v>
      </c>
      <c r="X15" s="172"/>
      <c r="Y15" s="183">
        <f t="shared" ref="Y15:AE17" si="107">Y4/1000</f>
        <v>31.068750000000001</v>
      </c>
      <c r="Z15" s="183">
        <f t="shared" si="107"/>
        <v>27.80331</v>
      </c>
      <c r="AA15" s="183">
        <f t="shared" si="107"/>
        <v>28.416630000000001</v>
      </c>
      <c r="AB15" s="183">
        <f t="shared" si="107"/>
        <v>32.007130000000004</v>
      </c>
      <c r="AC15" s="183">
        <f t="shared" si="107"/>
        <v>21.284380000000002</v>
      </c>
      <c r="AD15" s="183">
        <f t="shared" si="107"/>
        <v>9.9278099999999991</v>
      </c>
      <c r="AE15" s="183">
        <f t="shared" si="107"/>
        <v>9.2485900000000001</v>
      </c>
      <c r="AG15" s="183">
        <f t="shared" ref="AG15:AM17" si="108">AG4/1000</f>
        <v>32.584690000000002</v>
      </c>
      <c r="AH15" s="183">
        <f t="shared" si="108"/>
        <v>39.342410000000001</v>
      </c>
      <c r="AI15" s="183">
        <f t="shared" si="108"/>
        <v>0</v>
      </c>
      <c r="AJ15" s="183">
        <f t="shared" si="108"/>
        <v>29.758659999999999</v>
      </c>
      <c r="AK15" s="183">
        <f t="shared" si="108"/>
        <v>0</v>
      </c>
      <c r="AL15" s="183">
        <f t="shared" si="108"/>
        <v>0</v>
      </c>
      <c r="AM15" s="183">
        <f t="shared" si="108"/>
        <v>0</v>
      </c>
      <c r="AO15" s="183">
        <f t="shared" ref="AO15:AU17" si="109">AO4/1000</f>
        <v>0</v>
      </c>
      <c r="AP15" s="183">
        <f t="shared" si="109"/>
        <v>34.207529999999998</v>
      </c>
      <c r="AQ15" s="183">
        <f t="shared" si="109"/>
        <v>24.061340000000001</v>
      </c>
      <c r="AR15" s="183">
        <f t="shared" si="109"/>
        <v>3.2673500000000004</v>
      </c>
      <c r="AS15" s="183">
        <f t="shared" si="109"/>
        <v>49.505559999999996</v>
      </c>
      <c r="AT15" s="183">
        <f t="shared" si="109"/>
        <v>10.129940000000001</v>
      </c>
      <c r="AU15" s="183">
        <f t="shared" si="109"/>
        <v>9.2468799999999991</v>
      </c>
      <c r="AW15" s="183">
        <f t="shared" ref="AW15:BC17" si="110">AW4/1000</f>
        <v>0</v>
      </c>
      <c r="AX15" s="183">
        <f t="shared" si="110"/>
        <v>29.905570000000001</v>
      </c>
      <c r="AY15" s="183">
        <f t="shared" si="110"/>
        <v>27.535779999999999</v>
      </c>
      <c r="AZ15" s="183">
        <f t="shared" si="110"/>
        <v>27.226029999999998</v>
      </c>
      <c r="BA15" s="183">
        <f t="shared" si="110"/>
        <v>20.38691</v>
      </c>
      <c r="BB15" s="183">
        <f t="shared" si="110"/>
        <v>8.7823399999999996</v>
      </c>
      <c r="BC15" s="183">
        <f t="shared" si="110"/>
        <v>7.7820900000000002</v>
      </c>
      <c r="BE15" s="214">
        <f t="shared" ref="BE15:BK17" si="111">BE4/1000</f>
        <v>31.061630000000001</v>
      </c>
      <c r="BF15" s="183">
        <f t="shared" si="111"/>
        <v>33.610660000000003</v>
      </c>
      <c r="BG15" s="183">
        <f t="shared" si="111"/>
        <v>29.44866</v>
      </c>
      <c r="BH15" s="183">
        <f t="shared" si="111"/>
        <v>26.872029999999999</v>
      </c>
      <c r="BI15" s="183">
        <f t="shared" si="111"/>
        <v>17.677720000000001</v>
      </c>
      <c r="BJ15" s="183">
        <f t="shared" si="111"/>
        <v>7.7902500000000003</v>
      </c>
      <c r="BK15" s="215">
        <f t="shared" si="111"/>
        <v>8.4075900000000008</v>
      </c>
      <c r="BM15" s="214">
        <f t="shared" ref="BM15:BS17" si="112">BM4/1000</f>
        <v>30.192439999999998</v>
      </c>
      <c r="BN15" s="183">
        <f t="shared" si="112"/>
        <v>35.643809999999995</v>
      </c>
      <c r="BO15" s="183">
        <f t="shared" si="112"/>
        <v>31.609380000000002</v>
      </c>
      <c r="BP15" s="183">
        <f t="shared" si="112"/>
        <v>29.54513</v>
      </c>
      <c r="BQ15" s="183">
        <f t="shared" si="112"/>
        <v>24.728840000000002</v>
      </c>
      <c r="BR15" s="183">
        <f t="shared" si="112"/>
        <v>11.140750000000001</v>
      </c>
      <c r="BS15" s="215">
        <f t="shared" si="112"/>
        <v>8.14147</v>
      </c>
      <c r="BV15" s="214">
        <f t="shared" ref="BV15:CB15" si="113">BV4/1000</f>
        <v>19.172310000000003</v>
      </c>
      <c r="BW15" s="183">
        <f t="shared" si="113"/>
        <v>1.71919</v>
      </c>
      <c r="BX15" s="183">
        <f t="shared" si="113"/>
        <v>35</v>
      </c>
      <c r="BY15" s="183">
        <f t="shared" si="113"/>
        <v>25.004810000000003</v>
      </c>
      <c r="BZ15" s="183">
        <f t="shared" si="113"/>
        <v>18.721529999999998</v>
      </c>
      <c r="CA15" s="183">
        <f t="shared" si="113"/>
        <v>11.146559999999999</v>
      </c>
      <c r="CB15" s="215">
        <f t="shared" si="113"/>
        <v>5.3732199999999999</v>
      </c>
      <c r="CE15" s="214">
        <f t="shared" ref="CE15:CK15" si="114">CE4/1000</f>
        <v>2.0560900000000002</v>
      </c>
      <c r="CF15" s="183">
        <f t="shared" si="114"/>
        <v>35.643809999999995</v>
      </c>
      <c r="CG15" s="183">
        <f t="shared" si="114"/>
        <v>26.395630000000001</v>
      </c>
      <c r="CH15" s="183">
        <f t="shared" si="114"/>
        <v>26.771380000000001</v>
      </c>
      <c r="CI15" s="183">
        <f t="shared" si="114"/>
        <v>22.541</v>
      </c>
      <c r="CJ15" s="183">
        <f t="shared" si="114"/>
        <v>16.231999999999999</v>
      </c>
      <c r="CK15" s="215">
        <f t="shared" si="114"/>
        <v>12.701000000000001</v>
      </c>
      <c r="CN15" s="214">
        <f t="shared" ref="CN15:CT15" si="115">CN4/1000</f>
        <v>8.5030000000000001</v>
      </c>
      <c r="CO15" s="183">
        <f t="shared" si="115"/>
        <v>29.426659999999998</v>
      </c>
      <c r="CP15" s="183">
        <f t="shared" si="115"/>
        <v>21.020409999999998</v>
      </c>
      <c r="CQ15" s="183">
        <f t="shared" si="115"/>
        <v>26.925750000000001</v>
      </c>
      <c r="CR15" s="183">
        <f t="shared" si="115"/>
        <v>21.20722</v>
      </c>
      <c r="CS15" s="183">
        <f t="shared" si="115"/>
        <v>14.169129999999999</v>
      </c>
      <c r="CT15" s="215">
        <f t="shared" si="115"/>
        <v>9.16831</v>
      </c>
      <c r="CW15" s="214">
        <f t="shared" ref="CW15:DC15" si="116">CW4/1000</f>
        <v>2.04419</v>
      </c>
      <c r="CX15" s="183">
        <f t="shared" si="116"/>
        <v>35.265999999999998</v>
      </c>
      <c r="CY15" s="183">
        <f t="shared" si="116"/>
        <v>31.72738</v>
      </c>
      <c r="CZ15" s="183">
        <f t="shared" si="116"/>
        <v>28.66066</v>
      </c>
      <c r="DA15" s="183">
        <f t="shared" si="116"/>
        <v>24.308499999999999</v>
      </c>
      <c r="DB15" s="183">
        <f t="shared" si="116"/>
        <v>15.451129999999999</v>
      </c>
      <c r="DC15" s="215">
        <f t="shared" si="116"/>
        <v>11.282719999999999</v>
      </c>
      <c r="DF15" s="214">
        <f t="shared" ref="DF15:DL15" si="117">DF4/1000</f>
        <v>25.94566</v>
      </c>
      <c r="DG15" s="183">
        <f t="shared" si="117"/>
        <v>27.362089999999998</v>
      </c>
      <c r="DH15" s="183">
        <f t="shared" si="117"/>
        <v>26.432839999999999</v>
      </c>
      <c r="DI15" s="183">
        <f t="shared" si="117"/>
        <v>18.891089999999998</v>
      </c>
      <c r="DJ15" s="183">
        <f t="shared" si="117"/>
        <v>0</v>
      </c>
      <c r="DK15" s="183">
        <f t="shared" si="117"/>
        <v>0</v>
      </c>
      <c r="DL15" s="215">
        <f t="shared" si="117"/>
        <v>0</v>
      </c>
      <c r="DO15" s="214">
        <f t="shared" ref="DO15:DU15" si="118">DO4/1000</f>
        <v>0</v>
      </c>
      <c r="DP15" s="183">
        <f t="shared" si="118"/>
        <v>0</v>
      </c>
      <c r="DQ15" s="183">
        <f t="shared" si="118"/>
        <v>0</v>
      </c>
      <c r="DR15" s="183">
        <f t="shared" si="118"/>
        <v>0</v>
      </c>
      <c r="DS15" s="183">
        <f t="shared" si="118"/>
        <v>3.1366300000000003</v>
      </c>
      <c r="DT15" s="183">
        <f t="shared" si="118"/>
        <v>4.4017499999999998</v>
      </c>
      <c r="DU15" s="215">
        <f t="shared" si="118"/>
        <v>6.6988100000000008</v>
      </c>
      <c r="DX15" s="214">
        <f t="shared" ref="DX15:ED15" si="119">DX4/1000</f>
        <v>25.613781249999999</v>
      </c>
      <c r="DY15" s="183">
        <f t="shared" si="119"/>
        <v>26.895812500000002</v>
      </c>
      <c r="DZ15" s="183">
        <f t="shared" si="119"/>
        <v>6.7821249999999997</v>
      </c>
      <c r="EA15" s="183">
        <f t="shared" si="119"/>
        <v>8.6063099999999988</v>
      </c>
      <c r="EB15" s="183">
        <f t="shared" si="119"/>
        <v>0</v>
      </c>
      <c r="EC15" s="183">
        <f t="shared" si="119"/>
        <v>0</v>
      </c>
      <c r="ED15" s="215">
        <f t="shared" si="119"/>
        <v>0</v>
      </c>
      <c r="EG15" s="214">
        <f t="shared" ref="EG15:EM15" si="120">EG4/1000</f>
        <v>4.5670312500000003</v>
      </c>
      <c r="EH15" s="183">
        <f t="shared" si="120"/>
        <v>28.0561875</v>
      </c>
      <c r="EI15" s="183">
        <f t="shared" si="120"/>
        <v>27.170281249999999</v>
      </c>
      <c r="EJ15" s="183">
        <f t="shared" si="120"/>
        <v>28.02446875</v>
      </c>
      <c r="EK15" s="183">
        <f t="shared" si="120"/>
        <v>26.21153125</v>
      </c>
      <c r="EL15" s="183">
        <f t="shared" si="120"/>
        <v>25.179031250000001</v>
      </c>
      <c r="EM15" s="215">
        <f t="shared" si="120"/>
        <v>25.940999999999999</v>
      </c>
      <c r="EN15"/>
      <c r="EP15" s="214">
        <f t="shared" ref="EP15:EV15" si="121">EP4/1000</f>
        <v>23.296218750000001</v>
      </c>
      <c r="EQ15" s="183">
        <f t="shared" si="121"/>
        <v>22.483625</v>
      </c>
      <c r="ER15" s="183">
        <f t="shared" si="121"/>
        <v>19.478312500000001</v>
      </c>
      <c r="ES15" s="183">
        <f t="shared" si="121"/>
        <v>29.426156249999998</v>
      </c>
      <c r="ET15" s="183">
        <f t="shared" si="121"/>
        <v>28.898937499999999</v>
      </c>
      <c r="EU15" s="183">
        <f t="shared" si="121"/>
        <v>26.622812499999998</v>
      </c>
      <c r="EV15" s="215">
        <f t="shared" si="121"/>
        <v>23.861593750000001</v>
      </c>
      <c r="EW15"/>
    </row>
    <row r="16" spans="1:153" ht="15.6" x14ac:dyDescent="0.3">
      <c r="A16" s="654">
        <v>20</v>
      </c>
      <c r="B16" s="795"/>
      <c r="C16" s="769" t="s">
        <v>146</v>
      </c>
      <c r="D16" s="770"/>
      <c r="E16" s="770"/>
      <c r="F16" s="784" t="s">
        <v>145</v>
      </c>
      <c r="G16" s="785"/>
      <c r="H16" s="166"/>
      <c r="I16" s="183">
        <f t="shared" si="105"/>
        <v>2.1697500000000001</v>
      </c>
      <c r="J16" s="183">
        <f t="shared" si="105"/>
        <v>33.368499999999997</v>
      </c>
      <c r="K16" s="183">
        <f t="shared" si="105"/>
        <v>4.7917500000000004</v>
      </c>
      <c r="L16" s="183">
        <f t="shared" si="105"/>
        <v>12.729379999999999</v>
      </c>
      <c r="M16" s="183">
        <f t="shared" si="105"/>
        <v>9.4375</v>
      </c>
      <c r="N16" s="183">
        <f t="shared" si="105"/>
        <v>4.1006899999999993</v>
      </c>
      <c r="O16" s="184">
        <f t="shared" si="105"/>
        <v>3.0238800000000001</v>
      </c>
      <c r="P16" s="172"/>
      <c r="Q16" s="185">
        <f t="shared" si="106"/>
        <v>10.76188</v>
      </c>
      <c r="R16" s="183">
        <f t="shared" si="106"/>
        <v>13.719809999999999</v>
      </c>
      <c r="S16" s="183">
        <f t="shared" si="106"/>
        <v>13.36575</v>
      </c>
      <c r="T16" s="183">
        <f t="shared" si="106"/>
        <v>12.4055</v>
      </c>
      <c r="U16" s="183">
        <f t="shared" si="106"/>
        <v>9.7491900000000005</v>
      </c>
      <c r="V16" s="183">
        <f t="shared" si="106"/>
        <v>3.8188800000000001</v>
      </c>
      <c r="W16" s="183">
        <f t="shared" si="106"/>
        <v>2.9957500000000001</v>
      </c>
      <c r="X16" s="172"/>
      <c r="Y16" s="183">
        <f t="shared" si="107"/>
        <v>13.608690000000001</v>
      </c>
      <c r="Z16" s="183">
        <f t="shared" si="107"/>
        <v>12.595190000000001</v>
      </c>
      <c r="AA16" s="183">
        <f t="shared" si="107"/>
        <v>12.46419</v>
      </c>
      <c r="AB16" s="183">
        <f t="shared" si="107"/>
        <v>13.558059999999999</v>
      </c>
      <c r="AC16" s="183">
        <f t="shared" si="107"/>
        <v>9.7423099999999998</v>
      </c>
      <c r="AD16" s="183">
        <f t="shared" si="107"/>
        <v>4.0984999999999996</v>
      </c>
      <c r="AE16" s="183">
        <f t="shared" si="107"/>
        <v>3.14181</v>
      </c>
      <c r="AG16" s="183">
        <f t="shared" si="108"/>
        <v>13.074809999999999</v>
      </c>
      <c r="AH16" s="183">
        <f t="shared" si="108"/>
        <v>15.623809999999999</v>
      </c>
      <c r="AI16" s="183">
        <f t="shared" si="108"/>
        <v>0</v>
      </c>
      <c r="AJ16" s="183">
        <f t="shared" si="108"/>
        <v>13.57325</v>
      </c>
      <c r="AK16" s="183">
        <f t="shared" si="108"/>
        <v>0</v>
      </c>
      <c r="AL16" s="183">
        <f t="shared" si="108"/>
        <v>0</v>
      </c>
      <c r="AM16" s="183">
        <f t="shared" si="108"/>
        <v>0</v>
      </c>
      <c r="AO16" s="183">
        <f t="shared" si="109"/>
        <v>0</v>
      </c>
      <c r="AP16" s="183">
        <f t="shared" si="109"/>
        <v>14.01994</v>
      </c>
      <c r="AQ16" s="183">
        <f t="shared" si="109"/>
        <v>9.5516299999999994</v>
      </c>
      <c r="AR16" s="183">
        <f t="shared" si="109"/>
        <v>2.1133800000000003</v>
      </c>
      <c r="AS16" s="183">
        <f t="shared" si="109"/>
        <v>21.338380000000001</v>
      </c>
      <c r="AT16" s="183">
        <f t="shared" si="109"/>
        <v>3.28688</v>
      </c>
      <c r="AU16" s="183">
        <f t="shared" si="109"/>
        <v>3.49688</v>
      </c>
      <c r="AW16" s="183">
        <f t="shared" si="110"/>
        <v>0</v>
      </c>
      <c r="AX16" s="183">
        <f t="shared" si="110"/>
        <v>11.945690000000001</v>
      </c>
      <c r="AY16" s="183">
        <f t="shared" si="110"/>
        <v>11.397309999999999</v>
      </c>
      <c r="AZ16" s="183">
        <f t="shared" si="110"/>
        <v>10.603249999999999</v>
      </c>
      <c r="BA16" s="183">
        <f t="shared" si="110"/>
        <v>8.8529400000000003</v>
      </c>
      <c r="BB16" s="183">
        <f t="shared" si="110"/>
        <v>3.5101900000000001</v>
      </c>
      <c r="BC16" s="183">
        <f t="shared" si="110"/>
        <v>2.7138800000000001</v>
      </c>
      <c r="BE16" s="214">
        <f t="shared" si="111"/>
        <v>12.979749999999999</v>
      </c>
      <c r="BF16" s="183">
        <f t="shared" si="111"/>
        <v>13.52375</v>
      </c>
      <c r="BG16" s="183">
        <f t="shared" si="111"/>
        <v>12.027190000000001</v>
      </c>
      <c r="BH16" s="183">
        <f t="shared" si="111"/>
        <v>11.201559999999999</v>
      </c>
      <c r="BI16" s="183">
        <f t="shared" si="111"/>
        <v>7.4696899999999999</v>
      </c>
      <c r="BJ16" s="183">
        <f t="shared" si="111"/>
        <v>3.2505000000000002</v>
      </c>
      <c r="BK16" s="215">
        <f t="shared" si="111"/>
        <v>3.4813800000000001</v>
      </c>
      <c r="BM16" s="214">
        <f t="shared" si="112"/>
        <v>12.421190000000001</v>
      </c>
      <c r="BN16" s="183">
        <f t="shared" si="112"/>
        <v>14.589</v>
      </c>
      <c r="BO16" s="183">
        <f t="shared" si="112"/>
        <v>12.835940000000001</v>
      </c>
      <c r="BP16" s="183">
        <f t="shared" si="112"/>
        <v>12.04275</v>
      </c>
      <c r="BQ16" s="183">
        <f t="shared" si="112"/>
        <v>10.7705</v>
      </c>
      <c r="BR16" s="183">
        <f t="shared" si="112"/>
        <v>5.4669399999999992</v>
      </c>
      <c r="BS16" s="215">
        <f t="shared" si="112"/>
        <v>3.7965</v>
      </c>
      <c r="BV16" s="214">
        <f t="shared" ref="BV16:CB16" si="122">BV5/1000</f>
        <v>8.6415000000000006</v>
      </c>
      <c r="BW16" s="183">
        <f t="shared" si="122"/>
        <v>2.1327500000000001</v>
      </c>
      <c r="BX16" s="183">
        <f t="shared" si="122"/>
        <v>16</v>
      </c>
      <c r="BY16" s="183">
        <f t="shared" si="122"/>
        <v>11.268000000000001</v>
      </c>
      <c r="BZ16" s="183">
        <f t="shared" si="122"/>
        <v>9.3855599999999999</v>
      </c>
      <c r="CA16" s="183">
        <f t="shared" si="122"/>
        <v>6.0194399999999995</v>
      </c>
      <c r="CB16" s="215">
        <f t="shared" si="122"/>
        <v>3.2971900000000001</v>
      </c>
      <c r="CE16" s="214">
        <f t="shared" ref="CE16:CK16" si="123">CE5/1000</f>
        <v>2.0615600000000001</v>
      </c>
      <c r="CF16" s="183">
        <f t="shared" si="123"/>
        <v>14.589</v>
      </c>
      <c r="CG16" s="183">
        <f t="shared" si="123"/>
        <v>13.106809999999999</v>
      </c>
      <c r="CH16" s="183">
        <f t="shared" si="123"/>
        <v>13.12538</v>
      </c>
      <c r="CI16" s="183">
        <f t="shared" si="123"/>
        <v>11.548999999999999</v>
      </c>
      <c r="CJ16" s="183">
        <f t="shared" si="123"/>
        <v>7.67</v>
      </c>
      <c r="CK16" s="215">
        <f t="shared" si="123"/>
        <v>6.1559999999999997</v>
      </c>
      <c r="CN16" s="214">
        <f t="shared" ref="CN16:CT16" si="124">CN5/1000</f>
        <v>4.2069999999999999</v>
      </c>
      <c r="CO16" s="183">
        <f t="shared" si="124"/>
        <v>13.849500000000001</v>
      </c>
      <c r="CP16" s="183">
        <f t="shared" si="124"/>
        <v>7.25563</v>
      </c>
      <c r="CQ16" s="183">
        <f t="shared" si="124"/>
        <v>13.001440000000001</v>
      </c>
      <c r="CR16" s="183">
        <f t="shared" si="124"/>
        <v>10.146690000000001</v>
      </c>
      <c r="CS16" s="183">
        <f t="shared" si="124"/>
        <v>6.6132499999999999</v>
      </c>
      <c r="CT16" s="215">
        <f t="shared" si="124"/>
        <v>4.4460600000000001</v>
      </c>
      <c r="CW16" s="214">
        <f t="shared" ref="CW16:DC16" si="125">CW5/1000</f>
        <v>2.0490599999999999</v>
      </c>
      <c r="CX16" s="183">
        <f t="shared" si="125"/>
        <v>13.849500000000001</v>
      </c>
      <c r="CY16" s="183">
        <f t="shared" si="125"/>
        <v>15.201129999999999</v>
      </c>
      <c r="CZ16" s="183">
        <f t="shared" si="125"/>
        <v>14.110059999999999</v>
      </c>
      <c r="DA16" s="183">
        <f t="shared" si="125"/>
        <v>11.743879999999999</v>
      </c>
      <c r="DB16" s="183">
        <f t="shared" si="125"/>
        <v>6.3746299999999998</v>
      </c>
      <c r="DC16" s="215">
        <f t="shared" si="125"/>
        <v>4.4461899999999996</v>
      </c>
      <c r="DF16" s="214">
        <f t="shared" ref="DF16:DL16" si="126">DF5/1000</f>
        <v>12.90244</v>
      </c>
      <c r="DG16" s="183">
        <f t="shared" si="126"/>
        <v>13.481879999999999</v>
      </c>
      <c r="DH16" s="183">
        <f t="shared" si="126"/>
        <v>12.52656</v>
      </c>
      <c r="DI16" s="183">
        <f t="shared" si="126"/>
        <v>10.345190000000001</v>
      </c>
      <c r="DJ16" s="183">
        <f t="shared" si="126"/>
        <v>0</v>
      </c>
      <c r="DK16" s="183">
        <f t="shared" si="126"/>
        <v>0</v>
      </c>
      <c r="DL16" s="215">
        <f t="shared" si="126"/>
        <v>0</v>
      </c>
      <c r="DO16" s="214">
        <f t="shared" ref="DO16:DU16" si="127">DO5/1000</f>
        <v>0</v>
      </c>
      <c r="DP16" s="183">
        <f t="shared" si="127"/>
        <v>0</v>
      </c>
      <c r="DQ16" s="183">
        <f t="shared" si="127"/>
        <v>0</v>
      </c>
      <c r="DR16" s="183">
        <f t="shared" si="127"/>
        <v>0</v>
      </c>
      <c r="DS16" s="183">
        <f t="shared" si="127"/>
        <v>2.4011300000000002</v>
      </c>
      <c r="DT16" s="183">
        <f t="shared" si="127"/>
        <v>2.0443800000000003</v>
      </c>
      <c r="DU16" s="215">
        <f t="shared" si="127"/>
        <v>2.9693100000000001</v>
      </c>
      <c r="DX16" s="214">
        <f t="shared" ref="DX16:ED16" si="128">DX5/1000</f>
        <v>8.9445625</v>
      </c>
      <c r="DY16" s="183">
        <f t="shared" si="128"/>
        <v>9.7818124999999991</v>
      </c>
      <c r="DZ16" s="183">
        <f t="shared" si="128"/>
        <v>3.2609374999999998</v>
      </c>
      <c r="EA16" s="183">
        <f t="shared" si="128"/>
        <v>3.4451300000000002</v>
      </c>
      <c r="EB16" s="183">
        <f t="shared" si="128"/>
        <v>0</v>
      </c>
      <c r="EC16" s="183">
        <f t="shared" si="128"/>
        <v>0</v>
      </c>
      <c r="ED16" s="215">
        <f t="shared" si="128"/>
        <v>0</v>
      </c>
      <c r="EG16" s="214">
        <f t="shared" ref="EG16:EM16" si="129">EG5/1000</f>
        <v>2.6539999999999999</v>
      </c>
      <c r="EH16" s="183">
        <f t="shared" si="129"/>
        <v>10.957375000000001</v>
      </c>
      <c r="EI16" s="183">
        <f t="shared" si="129"/>
        <v>10.4268125</v>
      </c>
      <c r="EJ16" s="183">
        <f t="shared" si="129"/>
        <v>10.7231875</v>
      </c>
      <c r="EK16" s="183">
        <f t="shared" si="129"/>
        <v>10.599562499999999</v>
      </c>
      <c r="EL16" s="183">
        <f t="shared" si="129"/>
        <v>10.1011875</v>
      </c>
      <c r="EM16" s="215">
        <f t="shared" si="129"/>
        <v>10.856875</v>
      </c>
      <c r="EN16"/>
      <c r="EP16" s="214">
        <f t="shared" ref="EP16:EV16" si="130">EP5/1000</f>
        <v>10.0464375</v>
      </c>
      <c r="EQ16" s="183">
        <f t="shared" si="130"/>
        <v>10.108625</v>
      </c>
      <c r="ER16" s="183">
        <f t="shared" si="130"/>
        <v>9.4752500000000008</v>
      </c>
      <c r="ES16" s="183">
        <f t="shared" si="130"/>
        <v>12.6436875</v>
      </c>
      <c r="ET16" s="183">
        <f t="shared" si="130"/>
        <v>13.016249999999999</v>
      </c>
      <c r="EU16" s="183">
        <f t="shared" si="130"/>
        <v>11.6371875</v>
      </c>
      <c r="EV16" s="215">
        <f t="shared" si="130"/>
        <v>11.076812500000001</v>
      </c>
      <c r="EW16"/>
    </row>
    <row r="17" spans="1:153" ht="15.6" x14ac:dyDescent="0.3">
      <c r="A17" s="654">
        <v>21</v>
      </c>
      <c r="B17" s="795"/>
      <c r="C17" s="769" t="s">
        <v>147</v>
      </c>
      <c r="D17" s="770"/>
      <c r="E17" s="770"/>
      <c r="F17" s="784" t="s">
        <v>145</v>
      </c>
      <c r="G17" s="785"/>
      <c r="H17" s="166"/>
      <c r="I17" s="183">
        <f t="shared" si="105"/>
        <v>0</v>
      </c>
      <c r="J17" s="183">
        <f t="shared" si="105"/>
        <v>45.368940000000002</v>
      </c>
      <c r="K17" s="183">
        <f t="shared" si="105"/>
        <v>18.987659999999998</v>
      </c>
      <c r="L17" s="183">
        <f t="shared" si="105"/>
        <v>15.68844</v>
      </c>
      <c r="M17" s="183">
        <f t="shared" si="105"/>
        <v>11.55706</v>
      </c>
      <c r="N17" s="183">
        <f t="shared" si="105"/>
        <v>6.5739999999999998</v>
      </c>
      <c r="O17" s="184">
        <f t="shared" si="105"/>
        <v>5.2276600000000002</v>
      </c>
      <c r="P17" s="172"/>
      <c r="Q17" s="185">
        <f t="shared" si="106"/>
        <v>13.633809999999999</v>
      </c>
      <c r="R17" s="183">
        <f t="shared" si="106"/>
        <v>19.027470000000001</v>
      </c>
      <c r="S17" s="183">
        <f t="shared" si="106"/>
        <v>18.139189999999999</v>
      </c>
      <c r="T17" s="183">
        <f t="shared" si="106"/>
        <v>15.948499999999999</v>
      </c>
      <c r="U17" s="183">
        <f t="shared" si="106"/>
        <v>12.413129999999999</v>
      </c>
      <c r="V17" s="183">
        <f t="shared" si="106"/>
        <v>5.9718100000000005</v>
      </c>
      <c r="W17" s="183">
        <f t="shared" si="106"/>
        <v>5.1475299999999997</v>
      </c>
      <c r="X17" s="172"/>
      <c r="Y17" s="183">
        <f t="shared" si="107"/>
        <v>17.460060000000002</v>
      </c>
      <c r="Z17" s="183">
        <f t="shared" si="107"/>
        <v>15.208129999999999</v>
      </c>
      <c r="AA17" s="183">
        <f t="shared" si="107"/>
        <v>15.952440000000001</v>
      </c>
      <c r="AB17" s="183">
        <f t="shared" si="107"/>
        <v>18.449060000000003</v>
      </c>
      <c r="AC17" s="183">
        <f t="shared" si="107"/>
        <v>11.542059999999999</v>
      </c>
      <c r="AD17" s="183">
        <f t="shared" si="107"/>
        <v>5.8293100000000004</v>
      </c>
      <c r="AE17" s="183">
        <f t="shared" si="107"/>
        <v>6.1067799999999997</v>
      </c>
      <c r="AG17" s="183">
        <f t="shared" si="108"/>
        <v>19.509880000000003</v>
      </c>
      <c r="AH17" s="183">
        <f t="shared" si="108"/>
        <v>23.718589999999999</v>
      </c>
      <c r="AI17" s="183">
        <f t="shared" si="108"/>
        <v>0</v>
      </c>
      <c r="AJ17" s="183">
        <f t="shared" si="108"/>
        <v>16.185410000000001</v>
      </c>
      <c r="AK17" s="183">
        <f t="shared" si="108"/>
        <v>0</v>
      </c>
      <c r="AL17" s="183">
        <f t="shared" si="108"/>
        <v>0</v>
      </c>
      <c r="AM17" s="183">
        <f t="shared" si="108"/>
        <v>0</v>
      </c>
      <c r="AO17" s="183">
        <f t="shared" si="109"/>
        <v>0</v>
      </c>
      <c r="AP17" s="183">
        <f t="shared" si="109"/>
        <v>20.18759</v>
      </c>
      <c r="AQ17" s="183">
        <f t="shared" si="109"/>
        <v>14.50972</v>
      </c>
      <c r="AR17" s="183">
        <f t="shared" si="109"/>
        <v>1.1539699999999999</v>
      </c>
      <c r="AS17" s="183">
        <f t="shared" si="109"/>
        <v>28.167189999999998</v>
      </c>
      <c r="AT17" s="183">
        <f t="shared" si="109"/>
        <v>6.8430600000000004</v>
      </c>
      <c r="AU17" s="183">
        <f t="shared" si="109"/>
        <v>5.75</v>
      </c>
      <c r="AW17" s="183">
        <f t="shared" si="110"/>
        <v>0</v>
      </c>
      <c r="AX17" s="183">
        <f t="shared" si="110"/>
        <v>17.959880000000002</v>
      </c>
      <c r="AY17" s="183">
        <f t="shared" si="110"/>
        <v>16.138469999999998</v>
      </c>
      <c r="AZ17" s="183">
        <f t="shared" si="110"/>
        <v>16.622779999999999</v>
      </c>
      <c r="BA17" s="183">
        <f t="shared" si="110"/>
        <v>11.53397</v>
      </c>
      <c r="BB17" s="183">
        <f t="shared" si="110"/>
        <v>5.2721599999999995</v>
      </c>
      <c r="BC17" s="183">
        <f t="shared" si="110"/>
        <v>5.0682200000000002</v>
      </c>
      <c r="BE17" s="214">
        <f t="shared" si="111"/>
        <v>18.081880000000002</v>
      </c>
      <c r="BF17" s="183">
        <f t="shared" si="111"/>
        <v>20.08691</v>
      </c>
      <c r="BG17" s="183">
        <f t="shared" si="111"/>
        <v>17.421470000000003</v>
      </c>
      <c r="BH17" s="183">
        <f t="shared" si="111"/>
        <v>15.67047</v>
      </c>
      <c r="BI17" s="183">
        <f t="shared" si="111"/>
        <v>10.208030000000001</v>
      </c>
      <c r="BJ17" s="183">
        <f t="shared" si="111"/>
        <v>4.5397499999999997</v>
      </c>
      <c r="BK17" s="215">
        <f t="shared" si="111"/>
        <v>4.9262199999999998</v>
      </c>
      <c r="BM17" s="214">
        <f t="shared" si="112"/>
        <v>17.771249999999998</v>
      </c>
      <c r="BN17" s="183">
        <f t="shared" si="112"/>
        <v>21.05481</v>
      </c>
      <c r="BO17" s="183">
        <f t="shared" si="112"/>
        <v>18.773439999999997</v>
      </c>
      <c r="BP17" s="183">
        <f t="shared" si="112"/>
        <v>17.502380000000002</v>
      </c>
      <c r="BQ17" s="183">
        <f t="shared" si="112"/>
        <v>13.95834</v>
      </c>
      <c r="BR17" s="183">
        <f t="shared" si="112"/>
        <v>5.6738100000000005</v>
      </c>
      <c r="BS17" s="215">
        <f t="shared" si="112"/>
        <v>4.34497</v>
      </c>
      <c r="BV17" s="214">
        <f t="shared" ref="BV17:CB17" si="131">BV6/1000</f>
        <v>10.530809999999999</v>
      </c>
      <c r="BW17" s="183">
        <f t="shared" si="131"/>
        <v>-0.41355999999999998</v>
      </c>
      <c r="BX17" s="183">
        <f t="shared" si="131"/>
        <v>37.808750000000003</v>
      </c>
      <c r="BY17" s="183">
        <f t="shared" si="131"/>
        <v>13.31856</v>
      </c>
      <c r="BZ17" s="183">
        <f t="shared" si="131"/>
        <v>9.3350000000000009</v>
      </c>
      <c r="CA17" s="183">
        <f t="shared" si="131"/>
        <v>5.1271300000000002</v>
      </c>
      <c r="CB17" s="215">
        <f t="shared" si="131"/>
        <v>2.0760300000000003</v>
      </c>
      <c r="CE17" s="214">
        <f t="shared" ref="CE17:CK17" si="132">CE6/1000</f>
        <v>-5.47E-3</v>
      </c>
      <c r="CF17" s="183">
        <f t="shared" si="132"/>
        <v>26.851749999999999</v>
      </c>
      <c r="CG17" s="183">
        <f t="shared" si="132"/>
        <v>13.28881</v>
      </c>
      <c r="CH17" s="183">
        <f t="shared" si="132"/>
        <v>13.646000000000003</v>
      </c>
      <c r="CI17" s="183">
        <f t="shared" si="132"/>
        <v>10.992000000000001</v>
      </c>
      <c r="CJ17" s="183">
        <f t="shared" si="132"/>
        <v>8.5619999999999994</v>
      </c>
      <c r="CK17" s="215">
        <f t="shared" si="132"/>
        <v>6.5449999999999999</v>
      </c>
      <c r="CN17" s="214">
        <f t="shared" ref="CN17:CT17" si="133">CN6/1000</f>
        <v>4.2949999999999999</v>
      </c>
      <c r="CO17" s="183">
        <f t="shared" si="133"/>
        <v>15.577159999999999</v>
      </c>
      <c r="CP17" s="183">
        <f t="shared" si="133"/>
        <v>11.058159999999999</v>
      </c>
      <c r="CQ17" s="183">
        <f t="shared" si="133"/>
        <v>13.92431</v>
      </c>
      <c r="CR17" s="183">
        <f t="shared" si="133"/>
        <v>11.06053</v>
      </c>
      <c r="CS17" s="183">
        <f t="shared" si="133"/>
        <v>7.5558800000000002</v>
      </c>
      <c r="CT17" s="215">
        <f t="shared" si="133"/>
        <v>4.7222499999999998</v>
      </c>
      <c r="CW17" s="214">
        <f t="shared" ref="CW17:DC17" si="134">CW6/1000</f>
        <v>-4.8799999999999998E-3</v>
      </c>
      <c r="CX17" s="183">
        <f t="shared" si="134"/>
        <v>15.577159999999999</v>
      </c>
      <c r="CY17" s="183">
        <f t="shared" si="134"/>
        <v>16.526250000000001</v>
      </c>
      <c r="CZ17" s="183">
        <f t="shared" si="134"/>
        <v>14.550600000000001</v>
      </c>
      <c r="DA17" s="183">
        <f t="shared" si="134"/>
        <v>12.564620000000001</v>
      </c>
      <c r="DB17" s="183">
        <f t="shared" si="134"/>
        <v>9.0764999999999993</v>
      </c>
      <c r="DC17" s="215">
        <f t="shared" si="134"/>
        <v>6.8365299999999998</v>
      </c>
      <c r="DF17" s="214">
        <f t="shared" ref="DF17:DL17" si="135">DF6/1000</f>
        <v>13.04322</v>
      </c>
      <c r="DG17" s="183">
        <f t="shared" si="135"/>
        <v>13.880210000000002</v>
      </c>
      <c r="DH17" s="183">
        <f t="shared" si="135"/>
        <v>13.906280000000001</v>
      </c>
      <c r="DI17" s="183">
        <f t="shared" si="135"/>
        <v>13.906280000000001</v>
      </c>
      <c r="DJ17" s="183">
        <f t="shared" si="135"/>
        <v>0</v>
      </c>
      <c r="DK17" s="183">
        <f t="shared" si="135"/>
        <v>0</v>
      </c>
      <c r="DL17" s="215">
        <f t="shared" si="135"/>
        <v>0</v>
      </c>
      <c r="DO17" s="214">
        <f t="shared" ref="DO17:DU17" si="136">DO6/1000</f>
        <v>0</v>
      </c>
      <c r="DP17" s="183">
        <f t="shared" si="136"/>
        <v>0</v>
      </c>
      <c r="DQ17" s="183">
        <f t="shared" si="136"/>
        <v>0</v>
      </c>
      <c r="DR17" s="183">
        <f t="shared" si="136"/>
        <v>0</v>
      </c>
      <c r="DS17" s="183">
        <f t="shared" si="136"/>
        <v>0.73550000000000004</v>
      </c>
      <c r="DT17" s="183">
        <f t="shared" si="136"/>
        <v>2.3570000000000002</v>
      </c>
      <c r="DU17" s="215">
        <f t="shared" si="136"/>
        <v>3.7294999999999998</v>
      </c>
      <c r="DX17" s="214">
        <f t="shared" ref="DX17:ED17" si="137">DX6/1000</f>
        <v>16.669218749999999</v>
      </c>
      <c r="DY17" s="183">
        <f t="shared" si="137"/>
        <v>17.114000000000001</v>
      </c>
      <c r="DZ17" s="183">
        <f t="shared" si="137"/>
        <v>3.5211874999999999</v>
      </c>
      <c r="EA17" s="183">
        <f t="shared" si="137"/>
        <v>5.161179999999999</v>
      </c>
      <c r="EB17" s="183">
        <f t="shared" si="137"/>
        <v>0</v>
      </c>
      <c r="EC17" s="183">
        <f t="shared" si="137"/>
        <v>0</v>
      </c>
      <c r="ED17" s="215">
        <f t="shared" si="137"/>
        <v>0</v>
      </c>
      <c r="EG17" s="214">
        <f t="shared" ref="EG17:EM17" si="138">EG6/1000</f>
        <v>1.91303125</v>
      </c>
      <c r="EH17" s="183">
        <f t="shared" si="138"/>
        <v>17.098812500000001</v>
      </c>
      <c r="EI17" s="183">
        <f t="shared" si="138"/>
        <v>16.743468750000002</v>
      </c>
      <c r="EJ17" s="183">
        <f t="shared" si="138"/>
        <v>17.301281249999999</v>
      </c>
      <c r="EK17" s="183">
        <f t="shared" si="138"/>
        <v>15.611968750000001</v>
      </c>
      <c r="EL17" s="183">
        <f t="shared" si="138"/>
        <v>15.07784375</v>
      </c>
      <c r="EM17" s="215">
        <f t="shared" si="138"/>
        <v>15.084125</v>
      </c>
      <c r="EN17"/>
      <c r="EP17" s="214">
        <f t="shared" ref="EP17:EV17" si="139">EP6/1000</f>
        <v>13.24978125</v>
      </c>
      <c r="EQ17" s="183">
        <f t="shared" si="139"/>
        <v>12.375</v>
      </c>
      <c r="ER17" s="183">
        <f t="shared" si="139"/>
        <v>10.0030625</v>
      </c>
      <c r="ES17" s="183">
        <f t="shared" si="139"/>
        <v>16.78246875</v>
      </c>
      <c r="ET17" s="183">
        <f t="shared" si="139"/>
        <v>15.882687499999999</v>
      </c>
      <c r="EU17" s="183">
        <f t="shared" si="139"/>
        <v>14.985625000000001</v>
      </c>
      <c r="EV17" s="215">
        <f t="shared" si="139"/>
        <v>12.78478125</v>
      </c>
      <c r="EW17"/>
    </row>
    <row r="18" spans="1:153" ht="16.2" thickBot="1" x14ac:dyDescent="0.35">
      <c r="A18" s="654">
        <v>22</v>
      </c>
      <c r="B18" s="795"/>
      <c r="C18" s="766" t="s">
        <v>148</v>
      </c>
      <c r="D18" s="767"/>
      <c r="E18" s="768"/>
      <c r="F18" s="784" t="s">
        <v>149</v>
      </c>
      <c r="G18" s="785"/>
      <c r="H18" s="166"/>
      <c r="I18" s="183">
        <f t="shared" ref="I18:O18" si="140">I4*0.0036</f>
        <v>7.8110999999999997</v>
      </c>
      <c r="J18" s="183">
        <f t="shared" si="140"/>
        <v>283.45478400000002</v>
      </c>
      <c r="K18" s="183">
        <f t="shared" si="140"/>
        <v>85.605875999999995</v>
      </c>
      <c r="L18" s="183">
        <f t="shared" si="140"/>
        <v>102.30411600000001</v>
      </c>
      <c r="M18" s="183">
        <f t="shared" si="140"/>
        <v>75.580416</v>
      </c>
      <c r="N18" s="183">
        <f t="shared" si="140"/>
        <v>38.428884000000004</v>
      </c>
      <c r="O18" s="184">
        <f t="shared" si="140"/>
        <v>29.705508000000002</v>
      </c>
      <c r="P18" s="172"/>
      <c r="Q18" s="185">
        <f t="shared" ref="Q18:W18" si="141">Q4*0.0036</f>
        <v>87.824483999999998</v>
      </c>
      <c r="R18" s="183">
        <f t="shared" si="141"/>
        <v>117.89020799999999</v>
      </c>
      <c r="S18" s="183">
        <f t="shared" si="141"/>
        <v>113.417784</v>
      </c>
      <c r="T18" s="183">
        <f t="shared" si="141"/>
        <v>102.0744</v>
      </c>
      <c r="U18" s="183">
        <f t="shared" si="141"/>
        <v>79.784316000000004</v>
      </c>
      <c r="V18" s="183">
        <f t="shared" si="141"/>
        <v>35.246484000000002</v>
      </c>
      <c r="W18" s="183">
        <f t="shared" si="141"/>
        <v>29.315807999999997</v>
      </c>
      <c r="X18" s="172"/>
      <c r="Y18" s="183">
        <f t="shared" ref="Y18:AE18" si="142">Y4*0.0036</f>
        <v>111.8475</v>
      </c>
      <c r="Z18" s="183">
        <f t="shared" si="142"/>
        <v>100.091916</v>
      </c>
      <c r="AA18" s="183">
        <f t="shared" si="142"/>
        <v>102.299868</v>
      </c>
      <c r="AB18" s="183">
        <f t="shared" si="142"/>
        <v>115.225668</v>
      </c>
      <c r="AC18" s="183">
        <f t="shared" si="142"/>
        <v>76.623767999999998</v>
      </c>
      <c r="AD18" s="183">
        <f t="shared" si="142"/>
        <v>35.740116</v>
      </c>
      <c r="AE18" s="183">
        <f t="shared" si="142"/>
        <v>33.294924000000002</v>
      </c>
      <c r="AG18" s="183">
        <f t="shared" ref="AG18:AM18" si="143">AG4*0.0036</f>
        <v>117.30488399999999</v>
      </c>
      <c r="AH18" s="183">
        <f t="shared" si="143"/>
        <v>141.632676</v>
      </c>
      <c r="AI18" s="183">
        <f t="shared" si="143"/>
        <v>0</v>
      </c>
      <c r="AJ18" s="183">
        <f t="shared" si="143"/>
        <v>107.131176</v>
      </c>
      <c r="AK18" s="183">
        <f t="shared" si="143"/>
        <v>0</v>
      </c>
      <c r="AL18" s="183">
        <f t="shared" si="143"/>
        <v>0</v>
      </c>
      <c r="AM18" s="183">
        <f t="shared" si="143"/>
        <v>0</v>
      </c>
      <c r="AO18" s="183">
        <f t="shared" ref="AO18:AU18" si="144">AO4*0.0036</f>
        <v>0</v>
      </c>
      <c r="AP18" s="183">
        <f t="shared" si="144"/>
        <v>123.14710799999999</v>
      </c>
      <c r="AQ18" s="183">
        <f t="shared" si="144"/>
        <v>86.620823999999999</v>
      </c>
      <c r="AR18" s="183">
        <f t="shared" si="144"/>
        <v>11.762460000000001</v>
      </c>
      <c r="AS18" s="183">
        <f t="shared" si="144"/>
        <v>178.22001599999999</v>
      </c>
      <c r="AT18" s="183">
        <f t="shared" si="144"/>
        <v>36.467784000000002</v>
      </c>
      <c r="AU18" s="183">
        <f t="shared" si="144"/>
        <v>33.288767999999997</v>
      </c>
      <c r="AW18" s="183">
        <f t="shared" ref="AW18:BC18" si="145">AW4*0.0036</f>
        <v>0</v>
      </c>
      <c r="AX18" s="183">
        <f t="shared" si="145"/>
        <v>107.66005199999999</v>
      </c>
      <c r="AY18" s="183">
        <f t="shared" si="145"/>
        <v>99.128807999999992</v>
      </c>
      <c r="AZ18" s="183">
        <f t="shared" si="145"/>
        <v>98.013707999999994</v>
      </c>
      <c r="BA18" s="183">
        <f t="shared" si="145"/>
        <v>73.392876000000001</v>
      </c>
      <c r="BB18" s="183">
        <f t="shared" si="145"/>
        <v>31.616423999999999</v>
      </c>
      <c r="BC18" s="183">
        <f t="shared" si="145"/>
        <v>28.015523999999999</v>
      </c>
      <c r="BE18" s="301">
        <f t="shared" ref="BE18:BK18" si="146">BE4*0.0036</f>
        <v>111.82186799999999</v>
      </c>
      <c r="BF18" s="302">
        <f t="shared" si="146"/>
        <v>120.99837600000001</v>
      </c>
      <c r="BG18" s="302">
        <f t="shared" si="146"/>
        <v>106.015176</v>
      </c>
      <c r="BH18" s="302">
        <f t="shared" si="146"/>
        <v>96.739307999999994</v>
      </c>
      <c r="BI18" s="302">
        <f t="shared" si="146"/>
        <v>63.639792</v>
      </c>
      <c r="BJ18" s="302">
        <f t="shared" si="146"/>
        <v>28.044899999999998</v>
      </c>
      <c r="BK18" s="303">
        <f t="shared" si="146"/>
        <v>30.267323999999999</v>
      </c>
      <c r="BM18" s="214">
        <f t="shared" ref="BM18:BS18" si="147">BM4*0.0036</f>
        <v>108.69278399999999</v>
      </c>
      <c r="BN18" s="183">
        <f t="shared" si="147"/>
        <v>128.31771599999999</v>
      </c>
      <c r="BO18" s="183">
        <f t="shared" si="147"/>
        <v>113.793768</v>
      </c>
      <c r="BP18" s="183">
        <f t="shared" si="147"/>
        <v>106.36246800000001</v>
      </c>
      <c r="BQ18" s="183">
        <f t="shared" si="147"/>
        <v>89.023824000000005</v>
      </c>
      <c r="BR18" s="183">
        <f t="shared" si="147"/>
        <v>40.106699999999996</v>
      </c>
      <c r="BS18" s="215">
        <f t="shared" si="147"/>
        <v>29.309291999999999</v>
      </c>
      <c r="BV18" s="214">
        <f t="shared" ref="BV18:CB18" si="148">BV4*0.0036</f>
        <v>69.020316000000008</v>
      </c>
      <c r="BW18" s="183">
        <f t="shared" si="148"/>
        <v>6.1890840000000003</v>
      </c>
      <c r="BX18" s="183">
        <f t="shared" si="148"/>
        <v>126</v>
      </c>
      <c r="BY18" s="183">
        <f t="shared" si="148"/>
        <v>90.017316000000008</v>
      </c>
      <c r="BZ18" s="183">
        <f t="shared" si="148"/>
        <v>67.397507999999988</v>
      </c>
      <c r="CA18" s="183">
        <f t="shared" si="148"/>
        <v>40.127615999999996</v>
      </c>
      <c r="CB18" s="215">
        <f t="shared" si="148"/>
        <v>19.343592000000001</v>
      </c>
      <c r="CE18" s="214">
        <f t="shared" ref="CE18:CK18" si="149">CE4*0.0036</f>
        <v>7.4019240000000002</v>
      </c>
      <c r="CF18" s="183">
        <f t="shared" si="149"/>
        <v>128.31771599999999</v>
      </c>
      <c r="CG18" s="183">
        <f t="shared" si="149"/>
        <v>95.024268000000006</v>
      </c>
      <c r="CH18" s="183">
        <f t="shared" si="149"/>
        <v>96.376968000000005</v>
      </c>
      <c r="CI18" s="183">
        <f t="shared" si="149"/>
        <v>81.147599999999997</v>
      </c>
      <c r="CJ18" s="183">
        <f t="shared" si="149"/>
        <v>58.435200000000002</v>
      </c>
      <c r="CK18" s="215">
        <f t="shared" si="149"/>
        <v>45.723599999999998</v>
      </c>
      <c r="CN18" s="214">
        <f t="shared" ref="CN18:CT18" si="150">CN4*0.0036</f>
        <v>30.610799999999998</v>
      </c>
      <c r="CO18" s="183">
        <f t="shared" si="150"/>
        <v>105.935976</v>
      </c>
      <c r="CP18" s="183">
        <f t="shared" si="150"/>
        <v>75.673475999999994</v>
      </c>
      <c r="CQ18" s="183">
        <f t="shared" si="150"/>
        <v>96.932699999999997</v>
      </c>
      <c r="CR18" s="183">
        <f t="shared" si="150"/>
        <v>76.345991999999995</v>
      </c>
      <c r="CS18" s="183">
        <f t="shared" si="150"/>
        <v>51.008867999999993</v>
      </c>
      <c r="CT18" s="215">
        <f t="shared" si="150"/>
        <v>33.005915999999999</v>
      </c>
      <c r="CW18" s="214">
        <f t="shared" ref="CW18:DC18" si="151">CW4*0.0036</f>
        <v>7.3590840000000002</v>
      </c>
      <c r="CX18" s="183">
        <f t="shared" si="151"/>
        <v>126.9576</v>
      </c>
      <c r="CY18" s="183">
        <f t="shared" si="151"/>
        <v>114.218568</v>
      </c>
      <c r="CZ18" s="183">
        <f t="shared" si="151"/>
        <v>103.178376</v>
      </c>
      <c r="DA18" s="183">
        <f t="shared" si="151"/>
        <v>87.510599999999997</v>
      </c>
      <c r="DB18" s="183">
        <f t="shared" si="151"/>
        <v>55.624067999999994</v>
      </c>
      <c r="DC18" s="215">
        <f t="shared" si="151"/>
        <v>40.617791999999994</v>
      </c>
      <c r="DF18" s="214">
        <f t="shared" ref="DF18:DL18" si="152">DF4*0.0036</f>
        <v>93.404375999999999</v>
      </c>
      <c r="DG18" s="183">
        <f t="shared" si="152"/>
        <v>98.503523999999999</v>
      </c>
      <c r="DH18" s="183">
        <f t="shared" si="152"/>
        <v>95.158224000000004</v>
      </c>
      <c r="DI18" s="183">
        <f t="shared" si="152"/>
        <v>68.007924000000003</v>
      </c>
      <c r="DJ18" s="183">
        <f t="shared" si="152"/>
        <v>0</v>
      </c>
      <c r="DK18" s="183">
        <f t="shared" si="152"/>
        <v>0</v>
      </c>
      <c r="DL18" s="215">
        <f t="shared" si="152"/>
        <v>0</v>
      </c>
      <c r="DO18" s="214">
        <f t="shared" ref="DO18:DU18" si="153">DO4*0.0036</f>
        <v>0</v>
      </c>
      <c r="DP18" s="183">
        <f t="shared" si="153"/>
        <v>0</v>
      </c>
      <c r="DQ18" s="183">
        <f t="shared" si="153"/>
        <v>0</v>
      </c>
      <c r="DR18" s="183">
        <f t="shared" si="153"/>
        <v>0</v>
      </c>
      <c r="DS18" s="183">
        <f t="shared" si="153"/>
        <v>11.291868000000001</v>
      </c>
      <c r="DT18" s="183">
        <f t="shared" si="153"/>
        <v>15.846299999999999</v>
      </c>
      <c r="DU18" s="215">
        <f t="shared" si="153"/>
        <v>24.115715999999999</v>
      </c>
      <c r="DX18" s="214">
        <f t="shared" ref="DX18:ED18" si="154">DX4*0.0036</f>
        <v>92.209612499999992</v>
      </c>
      <c r="DY18" s="183">
        <f t="shared" si="154"/>
        <v>96.824924999999993</v>
      </c>
      <c r="DZ18" s="183">
        <f t="shared" si="154"/>
        <v>24.415649999999999</v>
      </c>
      <c r="EA18" s="183">
        <f t="shared" si="154"/>
        <v>30.982715999999996</v>
      </c>
      <c r="EB18" s="183">
        <f t="shared" si="154"/>
        <v>0</v>
      </c>
      <c r="EC18" s="183">
        <f t="shared" si="154"/>
        <v>0</v>
      </c>
      <c r="ED18" s="215">
        <f t="shared" si="154"/>
        <v>0</v>
      </c>
      <c r="EG18" s="214">
        <f t="shared" ref="EG18:EM18" si="155">EG4*0.0036</f>
        <v>16.441312499999999</v>
      </c>
      <c r="EH18" s="183">
        <f t="shared" si="155"/>
        <v>101.002275</v>
      </c>
      <c r="EI18" s="183">
        <f t="shared" si="155"/>
        <v>97.813012499999999</v>
      </c>
      <c r="EJ18" s="183">
        <f t="shared" si="155"/>
        <v>100.8880875</v>
      </c>
      <c r="EK18" s="183">
        <f t="shared" si="155"/>
        <v>94.361512500000003</v>
      </c>
      <c r="EL18" s="183">
        <f t="shared" si="155"/>
        <v>90.64451249999999</v>
      </c>
      <c r="EM18" s="215">
        <f t="shared" si="155"/>
        <v>93.387599999999992</v>
      </c>
      <c r="EN18"/>
      <c r="EP18" s="214">
        <f t="shared" ref="EP18:EV18" si="156">EP4*0.0036</f>
        <v>83.866387500000002</v>
      </c>
      <c r="EQ18" s="183">
        <f t="shared" si="156"/>
        <v>80.941050000000004</v>
      </c>
      <c r="ER18" s="183">
        <f t="shared" si="156"/>
        <v>70.121925000000005</v>
      </c>
      <c r="ES18" s="183">
        <f t="shared" si="156"/>
        <v>105.9341625</v>
      </c>
      <c r="ET18" s="183">
        <f t="shared" si="156"/>
        <v>104.036175</v>
      </c>
      <c r="EU18" s="183">
        <f t="shared" si="156"/>
        <v>95.842124999999996</v>
      </c>
      <c r="EV18" s="215">
        <f t="shared" si="156"/>
        <v>85.901737499999996</v>
      </c>
      <c r="EW18"/>
    </row>
    <row r="19" spans="1:153" ht="16.2" thickBot="1" x14ac:dyDescent="0.35">
      <c r="A19" s="654">
        <v>23</v>
      </c>
      <c r="B19" s="796"/>
      <c r="C19" s="809" t="s">
        <v>150</v>
      </c>
      <c r="D19" s="810"/>
      <c r="E19" s="836"/>
      <c r="F19" s="782" t="s">
        <v>151</v>
      </c>
      <c r="G19" s="783"/>
      <c r="H19" s="192"/>
      <c r="I19" s="206">
        <f t="shared" ref="I19:O19" si="157">I18/I3</f>
        <v>0.61024218749999992</v>
      </c>
      <c r="J19" s="206">
        <f t="shared" si="157"/>
        <v>7.4988038095238103</v>
      </c>
      <c r="K19" s="206">
        <f t="shared" si="157"/>
        <v>3.0683109677419353</v>
      </c>
      <c r="L19" s="206">
        <f t="shared" si="157"/>
        <v>9.1342960714285724</v>
      </c>
      <c r="M19" s="206">
        <f t="shared" si="157"/>
        <v>29.069390769230768</v>
      </c>
      <c r="N19" s="206" t="e">
        <f t="shared" si="157"/>
        <v>#DIV/0!</v>
      </c>
      <c r="O19" s="222" t="e">
        <f t="shared" si="157"/>
        <v>#DIV/0!</v>
      </c>
      <c r="P19" s="172"/>
      <c r="Q19" s="223">
        <f t="shared" ref="Q19:W19" si="158">Q18/Q3</f>
        <v>23.111706315789473</v>
      </c>
      <c r="R19" s="206">
        <f t="shared" si="158"/>
        <v>3.1353778723404249</v>
      </c>
      <c r="S19" s="206">
        <f t="shared" si="158"/>
        <v>2.7528588349514562</v>
      </c>
      <c r="T19" s="206">
        <f t="shared" si="158"/>
        <v>3.5565993031358887</v>
      </c>
      <c r="U19" s="206">
        <f t="shared" si="158"/>
        <v>6.3320885714285717</v>
      </c>
      <c r="V19" s="206" t="e">
        <f t="shared" si="158"/>
        <v>#DIV/0!</v>
      </c>
      <c r="W19" s="206" t="e">
        <f t="shared" si="158"/>
        <v>#DIV/0!</v>
      </c>
      <c r="X19" s="172"/>
      <c r="Y19" s="206">
        <f t="shared" ref="Y19:AE19" si="159">Y18/Y3</f>
        <v>3.9662234042553193</v>
      </c>
      <c r="Z19" s="206">
        <f t="shared" si="159"/>
        <v>2.8762044827586211</v>
      </c>
      <c r="AA19" s="206">
        <f t="shared" si="159"/>
        <v>3.0720681081081085</v>
      </c>
      <c r="AB19" s="206">
        <f t="shared" si="159"/>
        <v>4.2362377941176472</v>
      </c>
      <c r="AC19" s="206">
        <f t="shared" si="159"/>
        <v>17.414492727272727</v>
      </c>
      <c r="AD19" s="206" t="e">
        <f t="shared" si="159"/>
        <v>#DIV/0!</v>
      </c>
      <c r="AE19" s="206" t="e">
        <f t="shared" si="159"/>
        <v>#DIV/0!</v>
      </c>
      <c r="AG19" s="206">
        <f t="shared" ref="AG19:AM19" si="160">AG18/AG3</f>
        <v>3.8714483168316827</v>
      </c>
      <c r="AH19" s="206">
        <f t="shared" si="160"/>
        <v>3.0722923210412145</v>
      </c>
      <c r="AI19" s="206">
        <f t="shared" si="160"/>
        <v>0</v>
      </c>
      <c r="AJ19" s="206">
        <f t="shared" si="160"/>
        <v>4.2852470399999998</v>
      </c>
      <c r="AK19" s="206">
        <f t="shared" si="160"/>
        <v>0</v>
      </c>
      <c r="AL19" s="206" t="e">
        <f t="shared" si="160"/>
        <v>#DIV/0!</v>
      </c>
      <c r="AM19" s="206" t="e">
        <f t="shared" si="160"/>
        <v>#DIV/0!</v>
      </c>
      <c r="AO19" s="206" t="e">
        <f t="shared" ref="AO19:AU19" si="161">AO18/AO3</f>
        <v>#DIV/0!</v>
      </c>
      <c r="AP19" s="206">
        <f t="shared" si="161"/>
        <v>3.4885866288951841</v>
      </c>
      <c r="AQ19" s="206">
        <f t="shared" si="161"/>
        <v>2.328516774193548</v>
      </c>
      <c r="AR19" s="206">
        <f t="shared" si="161"/>
        <v>0.49840932203389832</v>
      </c>
      <c r="AS19" s="206">
        <f t="shared" si="161"/>
        <v>22.00247111111111</v>
      </c>
      <c r="AT19" s="206">
        <f t="shared" si="161"/>
        <v>30.389820000000004</v>
      </c>
      <c r="AU19" s="206" t="e">
        <f t="shared" si="161"/>
        <v>#DIV/0!</v>
      </c>
      <c r="AW19" s="206">
        <f>AW18/AW3</f>
        <v>0</v>
      </c>
      <c r="AX19" s="206">
        <f>AX18/AX3</f>
        <v>2.9576937362637361</v>
      </c>
      <c r="AY19" s="206">
        <f>AY18/AY3</f>
        <v>3.3042935999999998</v>
      </c>
      <c r="AZ19" s="206">
        <f>AZ18/AZ3</f>
        <v>3.9842970731707315</v>
      </c>
      <c r="BA19" s="206">
        <f>BA18/BA3</f>
        <v>7.9774865217391309</v>
      </c>
      <c r="BB19" s="206"/>
      <c r="BC19" s="206"/>
      <c r="BE19" s="298">
        <f t="shared" ref="BE19:BK19" si="162">BE18/BE3</f>
        <v>3.6071570322580642</v>
      </c>
      <c r="BF19" s="299">
        <f t="shared" si="162"/>
        <v>2.7375198190045249</v>
      </c>
      <c r="BG19" s="299">
        <f t="shared" si="162"/>
        <v>2.3147418340611354</v>
      </c>
      <c r="BH19" s="299">
        <f t="shared" si="162"/>
        <v>3.6923399999999997</v>
      </c>
      <c r="BI19" s="299">
        <f t="shared" si="162"/>
        <v>127.279584</v>
      </c>
      <c r="BJ19" s="299" t="e">
        <f t="shared" si="162"/>
        <v>#DIV/0!</v>
      </c>
      <c r="BK19" s="300" t="e">
        <f t="shared" si="162"/>
        <v>#DIV/0!</v>
      </c>
      <c r="BM19" s="216">
        <f t="shared" ref="BM19:BS19" si="163">BM18/BM3</f>
        <v>4.6056264406779652</v>
      </c>
      <c r="BN19" s="217">
        <f t="shared" si="163"/>
        <v>3.2240632160804021</v>
      </c>
      <c r="BO19" s="217">
        <f t="shared" si="163"/>
        <v>3.5897087697160885</v>
      </c>
      <c r="BP19" s="217">
        <f t="shared" si="163"/>
        <v>4.1547839062499996</v>
      </c>
      <c r="BQ19" s="217">
        <f t="shared" si="163"/>
        <v>5.7434725161290325</v>
      </c>
      <c r="BR19" s="217">
        <f t="shared" si="163"/>
        <v>28.647642857142856</v>
      </c>
      <c r="BS19" s="218" t="e">
        <f t="shared" si="163"/>
        <v>#DIV/0!</v>
      </c>
      <c r="BV19" s="216">
        <f t="shared" ref="BV19:CB19" si="164">BV18/BV3</f>
        <v>2.0122541107871723</v>
      </c>
      <c r="BW19" s="217">
        <f t="shared" si="164"/>
        <v>0.14260562211981567</v>
      </c>
      <c r="BX19" s="217">
        <f t="shared" si="164"/>
        <v>3</v>
      </c>
      <c r="BY19" s="217">
        <f t="shared" si="164"/>
        <v>2.9807058278145697</v>
      </c>
      <c r="BZ19" s="217">
        <f t="shared" si="164"/>
        <v>5.616458999999999</v>
      </c>
      <c r="CA19" s="217">
        <f t="shared" si="164"/>
        <v>5.0794450632911383</v>
      </c>
      <c r="CB19" s="218">
        <f t="shared" si="164"/>
        <v>2.5121548051948053</v>
      </c>
      <c r="CE19" s="216">
        <f t="shared" ref="CE19:CK19" si="165">CE18/CE3</f>
        <v>0.24838671140939597</v>
      </c>
      <c r="CF19" s="217">
        <f t="shared" si="165"/>
        <v>3.0994617391304344</v>
      </c>
      <c r="CG19" s="217">
        <f t="shared" si="165"/>
        <v>2.3579222828784121</v>
      </c>
      <c r="CH19" s="217">
        <f t="shared" si="165"/>
        <v>2.3855685148514856</v>
      </c>
      <c r="CI19" s="217">
        <f t="shared" si="165"/>
        <v>4.0371940298507463</v>
      </c>
      <c r="CJ19" s="217">
        <f t="shared" si="165"/>
        <v>3.4373647058823531</v>
      </c>
      <c r="CK19" s="218">
        <f t="shared" si="165"/>
        <v>3.0280529801324501</v>
      </c>
      <c r="CN19" s="216" t="e">
        <f t="shared" ref="CN19:CT19" si="166">CN18/CN3</f>
        <v>#DIV/0!</v>
      </c>
      <c r="CO19" s="217">
        <f t="shared" si="166"/>
        <v>2.0490517601547387</v>
      </c>
      <c r="CP19" s="217">
        <f t="shared" si="166"/>
        <v>1.4118185820895521</v>
      </c>
      <c r="CQ19" s="217">
        <f t="shared" si="166"/>
        <v>2.8509617647058825</v>
      </c>
      <c r="CR19" s="217">
        <f t="shared" si="166"/>
        <v>3.550976372093023</v>
      </c>
      <c r="CS19" s="217">
        <f t="shared" si="166"/>
        <v>3.7232750364963501</v>
      </c>
      <c r="CT19" s="218">
        <f t="shared" si="166"/>
        <v>2.3745263309352516</v>
      </c>
      <c r="CW19" s="216">
        <f t="shared" ref="CW19:DC19" si="167">CW18/CW3</f>
        <v>0.19729447721179627</v>
      </c>
      <c r="CX19" s="217">
        <f t="shared" si="167"/>
        <v>2.7069850746268656</v>
      </c>
      <c r="CY19" s="217">
        <f t="shared" si="167"/>
        <v>2.4301822978723404</v>
      </c>
      <c r="CZ19" s="217">
        <f t="shared" si="167"/>
        <v>2.5165457560975608</v>
      </c>
      <c r="DA19" s="217">
        <f t="shared" si="167"/>
        <v>3.2898721804511277</v>
      </c>
      <c r="DB19" s="217">
        <f t="shared" si="167"/>
        <v>4.6353389999999992</v>
      </c>
      <c r="DC19" s="218">
        <f t="shared" si="167"/>
        <v>5.3444463157894733</v>
      </c>
      <c r="DF19" s="216">
        <f t="shared" ref="DF19:DL19" si="168">DF18/DF3</f>
        <v>2.4067089925276988</v>
      </c>
      <c r="DG19" s="217">
        <f t="shared" si="168"/>
        <v>2.5651959375</v>
      </c>
      <c r="DH19" s="217">
        <f t="shared" si="168"/>
        <v>2.086803157894737</v>
      </c>
      <c r="DI19" s="217">
        <f t="shared" si="168"/>
        <v>3.5793644210526319</v>
      </c>
      <c r="DJ19" s="217" t="e">
        <f t="shared" si="168"/>
        <v>#DIV/0!</v>
      </c>
      <c r="DK19" s="217" t="e">
        <f t="shared" si="168"/>
        <v>#DIV/0!</v>
      </c>
      <c r="DL19" s="218" t="e">
        <f t="shared" si="168"/>
        <v>#DIV/0!</v>
      </c>
      <c r="DO19" s="216" t="e">
        <f t="shared" ref="DO19:DU19" si="169">DO18/DO3</f>
        <v>#DIV/0!</v>
      </c>
      <c r="DP19" s="217" t="e">
        <f t="shared" si="169"/>
        <v>#DIV/0!</v>
      </c>
      <c r="DQ19" s="217" t="e">
        <f t="shared" si="169"/>
        <v>#DIV/0!</v>
      </c>
      <c r="DR19" s="217" t="e">
        <f t="shared" si="169"/>
        <v>#DIV/0!</v>
      </c>
      <c r="DS19" s="217" t="e">
        <f t="shared" si="169"/>
        <v>#DIV/0!</v>
      </c>
      <c r="DT19" s="217" t="e">
        <f t="shared" si="169"/>
        <v>#DIV/0!</v>
      </c>
      <c r="DU19" s="218" t="e">
        <f t="shared" si="169"/>
        <v>#DIV/0!</v>
      </c>
      <c r="DX19" s="216">
        <f>IF(ISNUMBER(DX3),DX18/DX3,)</f>
        <v>2.6345603571428571</v>
      </c>
      <c r="DY19" s="216">
        <f t="shared" ref="DY19:ED19" si="170">IF(ISNUMBER(DY3),DY18/DY3,)</f>
        <v>3.7240355769230766</v>
      </c>
      <c r="DZ19" s="216">
        <f t="shared" si="170"/>
        <v>3.0519562499999999</v>
      </c>
      <c r="EA19" s="216">
        <f t="shared" si="170"/>
        <v>0</v>
      </c>
      <c r="EB19" s="216">
        <f t="shared" si="170"/>
        <v>0</v>
      </c>
      <c r="EC19" s="216">
        <f t="shared" si="170"/>
        <v>0</v>
      </c>
      <c r="ED19" s="216">
        <f t="shared" si="170"/>
        <v>0</v>
      </c>
      <c r="EG19" s="216">
        <f>IF(ISNUMBER(EG3),EG18/EG3,)</f>
        <v>0</v>
      </c>
      <c r="EH19" s="216">
        <f t="shared" ref="EH19:EM19" si="171">IF(ISNUMBER(EH3),EH18/EH3,)</f>
        <v>0</v>
      </c>
      <c r="EI19" s="216">
        <f t="shared" si="171"/>
        <v>0</v>
      </c>
      <c r="EJ19" s="216">
        <f t="shared" si="171"/>
        <v>0</v>
      </c>
      <c r="EK19" s="216">
        <f t="shared" si="171"/>
        <v>0</v>
      </c>
      <c r="EL19" s="216">
        <f t="shared" si="171"/>
        <v>0</v>
      </c>
      <c r="EM19" s="216">
        <f t="shared" si="171"/>
        <v>0</v>
      </c>
      <c r="EN19"/>
      <c r="EP19" s="216">
        <f>IF(ISNUMBER(EP3),EP18/EP3,)</f>
        <v>3.0720288461538461</v>
      </c>
      <c r="EQ19" s="216">
        <f t="shared" ref="EQ19:EV19" si="172">IF(ISNUMBER(EQ3),EQ18/EQ3,)</f>
        <v>2.4453489425981871</v>
      </c>
      <c r="ER19" s="216">
        <f t="shared" si="172"/>
        <v>2.8856759259259261</v>
      </c>
      <c r="ES19" s="216">
        <f t="shared" si="172"/>
        <v>2.6818775316455694</v>
      </c>
      <c r="ET19" s="216">
        <f t="shared" si="172"/>
        <v>2.4194459302325582</v>
      </c>
      <c r="EU19" s="216">
        <f t="shared" si="172"/>
        <v>2.3606434729064039</v>
      </c>
      <c r="EV19" s="216">
        <f t="shared" si="172"/>
        <v>2.6594965170278639</v>
      </c>
      <c r="EW19"/>
    </row>
    <row r="20" spans="1:153" ht="16.2" thickBot="1" x14ac:dyDescent="0.35">
      <c r="B20" s="205"/>
      <c r="C20" s="204"/>
      <c r="D20" s="204"/>
      <c r="E20" s="204"/>
      <c r="F20" s="204"/>
      <c r="G20" s="204"/>
      <c r="H20" s="227"/>
      <c r="I20" s="208"/>
      <c r="J20" s="208"/>
      <c r="K20" s="208"/>
      <c r="L20" s="208"/>
      <c r="M20" s="208"/>
      <c r="N20" s="208"/>
      <c r="O20" s="208"/>
      <c r="P20" s="228"/>
      <c r="Q20" s="208"/>
      <c r="R20" s="208"/>
      <c r="S20" s="208"/>
      <c r="T20" s="208"/>
      <c r="U20" s="208"/>
      <c r="V20" s="208"/>
      <c r="W20" s="208"/>
      <c r="X20" s="228"/>
      <c r="Y20" s="208"/>
      <c r="Z20" s="208"/>
      <c r="AA20" s="208"/>
      <c r="AB20" s="208"/>
      <c r="AC20" s="208"/>
      <c r="AD20" s="208"/>
      <c r="AE20" s="208"/>
      <c r="AF20" s="229"/>
      <c r="AG20" s="208"/>
      <c r="AH20" s="208"/>
      <c r="AI20" s="208"/>
      <c r="AJ20" s="208"/>
      <c r="AK20" s="208"/>
      <c r="AL20" s="208"/>
      <c r="AM20" s="208"/>
      <c r="AN20" s="229"/>
      <c r="AO20" s="208"/>
      <c r="AP20" s="208"/>
      <c r="AQ20" s="208"/>
      <c r="AR20" s="208"/>
      <c r="AS20" s="208"/>
      <c r="AT20" s="208"/>
      <c r="AU20" s="208"/>
      <c r="AV20" s="229"/>
      <c r="AW20" s="208"/>
      <c r="AX20" s="208"/>
      <c r="AY20" s="208"/>
      <c r="AZ20" s="208"/>
      <c r="BA20" s="208"/>
      <c r="BB20" s="208"/>
      <c r="BC20" s="208"/>
      <c r="BD20" s="229"/>
      <c r="BE20" s="208"/>
      <c r="BF20" s="208"/>
      <c r="BG20" s="208"/>
      <c r="BH20" s="208"/>
      <c r="BI20" s="208"/>
      <c r="BJ20" s="208"/>
      <c r="BK20" s="208"/>
      <c r="BL20" s="229"/>
      <c r="BM20" s="208"/>
      <c r="BN20" s="208"/>
      <c r="BO20" s="208"/>
      <c r="BP20" s="208"/>
      <c r="BQ20" s="208"/>
      <c r="BR20" s="208"/>
      <c r="BS20" s="208"/>
      <c r="BT20" s="208"/>
      <c r="BU20" s="229"/>
      <c r="BV20" s="208"/>
      <c r="BW20" s="208"/>
      <c r="BX20" s="208"/>
      <c r="BY20" s="208"/>
      <c r="BZ20" s="208"/>
      <c r="CA20" s="208"/>
      <c r="CB20" s="208"/>
      <c r="CC20" s="208"/>
      <c r="CD20" s="205"/>
      <c r="CE20" s="208"/>
      <c r="CF20" s="208"/>
      <c r="CG20" s="208"/>
      <c r="CH20" s="208"/>
      <c r="CI20" s="208"/>
      <c r="CJ20" s="208"/>
      <c r="CK20" s="208"/>
      <c r="CL20" s="208"/>
      <c r="CM20" s="205"/>
      <c r="CN20" s="208"/>
      <c r="CO20" s="208"/>
      <c r="CP20" s="208"/>
      <c r="CQ20" s="208"/>
      <c r="CR20" s="208"/>
      <c r="CS20" s="208"/>
      <c r="CT20" s="208"/>
      <c r="CU20" s="208"/>
      <c r="CV20" s="205"/>
      <c r="CW20" s="208"/>
      <c r="CX20" s="208"/>
      <c r="CY20" s="208"/>
      <c r="CZ20" s="208"/>
      <c r="DA20" s="208"/>
      <c r="DB20" s="208"/>
      <c r="DC20" s="208"/>
      <c r="DD20" s="208"/>
      <c r="DE20" s="205"/>
      <c r="DF20" s="208"/>
      <c r="DG20" s="208"/>
      <c r="DH20" s="208"/>
      <c r="DI20" s="208"/>
      <c r="DJ20" s="208"/>
      <c r="DK20" s="208"/>
      <c r="DL20" s="208"/>
      <c r="DM20" s="208"/>
      <c r="DN20" s="205"/>
      <c r="DO20" s="208"/>
      <c r="DP20" s="208"/>
      <c r="DQ20" s="208"/>
      <c r="DR20" s="208"/>
      <c r="DS20" s="208"/>
      <c r="DT20" s="208"/>
      <c r="DU20" s="208"/>
      <c r="DV20" s="208"/>
      <c r="DW20" s="205"/>
      <c r="DX20" s="208"/>
      <c r="DY20" s="208"/>
      <c r="DZ20" s="208"/>
      <c r="EA20" s="208"/>
      <c r="EB20" s="208"/>
      <c r="EC20" s="208"/>
      <c r="ED20" s="208"/>
      <c r="EE20" s="208"/>
      <c r="EF20" s="205"/>
      <c r="EG20" s="208"/>
      <c r="EH20" s="208"/>
      <c r="EI20" s="208"/>
      <c r="EJ20" s="208"/>
      <c r="EK20" s="208"/>
      <c r="EL20" s="208"/>
      <c r="EM20" s="208"/>
      <c r="EN20" s="208"/>
      <c r="EP20" s="208"/>
      <c r="EQ20" s="208"/>
      <c r="ER20" s="208"/>
      <c r="ES20" s="208"/>
      <c r="ET20" s="208"/>
      <c r="EU20" s="208"/>
      <c r="EV20" s="208"/>
      <c r="EW20" s="208"/>
    </row>
    <row r="21" spans="1:153" ht="15.75" customHeight="1" x14ac:dyDescent="0.3">
      <c r="B21" s="797" t="s">
        <v>23</v>
      </c>
      <c r="C21" s="775" t="s">
        <v>152</v>
      </c>
      <c r="D21" s="776"/>
      <c r="E21" s="512" t="s">
        <v>307</v>
      </c>
      <c r="F21" s="786" t="s">
        <v>22</v>
      </c>
      <c r="G21" s="787"/>
      <c r="H21" s="166"/>
      <c r="I21" s="207">
        <v>9.4</v>
      </c>
      <c r="J21" s="207">
        <v>31.9</v>
      </c>
      <c r="K21" s="207">
        <f>40.7+0.6</f>
        <v>41.300000000000004</v>
      </c>
      <c r="L21" s="207">
        <v>34.9</v>
      </c>
      <c r="M21" s="207">
        <v>27.4</v>
      </c>
      <c r="N21" s="207">
        <v>2.4</v>
      </c>
      <c r="O21" s="224">
        <v>0</v>
      </c>
      <c r="P21" s="172"/>
      <c r="Q21" s="225">
        <v>31.3</v>
      </c>
      <c r="R21" s="207">
        <v>45</v>
      </c>
      <c r="S21" s="207">
        <v>42.1</v>
      </c>
      <c r="T21" s="207">
        <v>37.799999999999997</v>
      </c>
      <c r="U21" s="207">
        <v>25.8</v>
      </c>
      <c r="V21" s="207">
        <v>6.1</v>
      </c>
      <c r="W21" s="207"/>
      <c r="X21" s="172"/>
      <c r="Y21" s="207">
        <v>11</v>
      </c>
      <c r="Z21" s="207">
        <v>44.2</v>
      </c>
      <c r="AA21" s="207">
        <v>36.799999999999997</v>
      </c>
      <c r="AB21" s="207">
        <v>25.9</v>
      </c>
      <c r="AC21" s="207">
        <v>19.100000000000001</v>
      </c>
      <c r="AD21" s="207">
        <v>1.7</v>
      </c>
      <c r="AE21" s="207"/>
      <c r="AG21" s="207">
        <v>11.1</v>
      </c>
      <c r="AH21" s="207">
        <v>34.1</v>
      </c>
      <c r="AI21" s="207">
        <v>12.6</v>
      </c>
      <c r="AJ21" s="207">
        <v>23.2</v>
      </c>
      <c r="AK21" s="207">
        <v>19.100000000000001</v>
      </c>
      <c r="AL21" s="207">
        <v>1.7</v>
      </c>
      <c r="AM21" s="207"/>
      <c r="AO21" s="173"/>
      <c r="AP21" s="173">
        <v>34</v>
      </c>
      <c r="AQ21" s="173">
        <v>36.1</v>
      </c>
      <c r="AR21" s="173">
        <v>30.3</v>
      </c>
      <c r="AS21" s="173">
        <v>14.5</v>
      </c>
      <c r="AT21" s="173">
        <v>4.2</v>
      </c>
      <c r="AU21" s="173"/>
      <c r="AW21" s="173">
        <v>14.6</v>
      </c>
      <c r="AX21" s="173">
        <v>37.299999999999997</v>
      </c>
      <c r="AY21" s="173">
        <v>31.9</v>
      </c>
      <c r="AZ21" s="173">
        <v>24.1</v>
      </c>
      <c r="BA21" s="173">
        <v>11.1</v>
      </c>
      <c r="BB21" s="173">
        <v>3.1</v>
      </c>
      <c r="BC21" s="173"/>
      <c r="BE21" s="173">
        <v>12.8</v>
      </c>
      <c r="BF21" s="173">
        <v>42.7</v>
      </c>
      <c r="BG21" s="173">
        <v>45.4</v>
      </c>
      <c r="BH21" s="173">
        <v>31.3</v>
      </c>
      <c r="BI21" s="173">
        <v>16.600000000000001</v>
      </c>
      <c r="BJ21" s="173">
        <v>5.6</v>
      </c>
      <c r="BK21" s="173">
        <v>0</v>
      </c>
      <c r="BM21" s="209">
        <v>3.7</v>
      </c>
      <c r="BN21" s="210">
        <v>42.2</v>
      </c>
      <c r="BO21" s="210">
        <v>36.9</v>
      </c>
      <c r="BP21" s="210">
        <v>31.5</v>
      </c>
      <c r="BQ21" s="210">
        <v>21.1</v>
      </c>
      <c r="BR21" s="210">
        <v>12</v>
      </c>
      <c r="BS21" s="211">
        <v>0</v>
      </c>
      <c r="BT21" s="255">
        <f>SUM(BM21:BS21)</f>
        <v>147.4</v>
      </c>
      <c r="BV21" s="209">
        <v>1.9</v>
      </c>
      <c r="BW21" s="210">
        <v>43.8</v>
      </c>
      <c r="BX21" s="210">
        <v>38.299999999999997</v>
      </c>
      <c r="BY21" s="210">
        <f>28.7</f>
        <v>28.7</v>
      </c>
      <c r="BZ21" s="210">
        <v>14.4</v>
      </c>
      <c r="CA21" s="210"/>
      <c r="CB21" s="211"/>
      <c r="CC21" s="255">
        <f>SUM(BV21:CB21)</f>
        <v>127.10000000000001</v>
      </c>
      <c r="CE21" s="209">
        <v>19</v>
      </c>
      <c r="CF21" s="210">
        <v>43.8</v>
      </c>
      <c r="CG21" s="210">
        <v>37.700000000000003</v>
      </c>
      <c r="CH21" s="210">
        <v>18.2</v>
      </c>
      <c r="CI21" s="210">
        <v>7.5</v>
      </c>
      <c r="CJ21" s="210">
        <v>1.6</v>
      </c>
      <c r="CK21" s="211">
        <v>0</v>
      </c>
      <c r="CL21" s="255">
        <f>SUM(CE21:CK21)</f>
        <v>127.8</v>
      </c>
      <c r="CN21" s="209">
        <v>0</v>
      </c>
      <c r="CO21" s="210">
        <v>23.6</v>
      </c>
      <c r="CP21" s="210">
        <v>30.6</v>
      </c>
      <c r="CQ21" s="210">
        <v>24.3</v>
      </c>
      <c r="CR21" s="210">
        <v>18.2</v>
      </c>
      <c r="CS21" s="210">
        <v>6.2</v>
      </c>
      <c r="CT21" s="211">
        <v>0</v>
      </c>
      <c r="CU21" s="255">
        <f>SUM(CN21:CT21)</f>
        <v>102.9</v>
      </c>
      <c r="CW21" s="209">
        <v>37.4</v>
      </c>
      <c r="CX21" s="210">
        <v>42</v>
      </c>
      <c r="CY21" s="210">
        <v>44.2</v>
      </c>
      <c r="CZ21" s="210">
        <v>27.8</v>
      </c>
      <c r="DA21" s="210">
        <v>14</v>
      </c>
      <c r="DB21" s="210">
        <v>12.2</v>
      </c>
      <c r="DC21" s="211">
        <v>0.5</v>
      </c>
      <c r="DD21" s="255">
        <f>SUM(CW21:DC21)</f>
        <v>178.1</v>
      </c>
      <c r="DF21" s="209">
        <f>5.2+6.4+4.8+2.02+6.8+6.76+1.92</f>
        <v>33.900000000000006</v>
      </c>
      <c r="DG21" s="210">
        <f>25.5+1.1+6.2+5.9+2.1</f>
        <v>40.800000000000004</v>
      </c>
      <c r="DH21" s="210">
        <v>29.7</v>
      </c>
      <c r="DI21" s="210">
        <v>6.3</v>
      </c>
      <c r="DJ21" s="210"/>
      <c r="DK21" s="210"/>
      <c r="DL21" s="211"/>
      <c r="DM21" s="255">
        <f>SUM(DF21:DL21)</f>
        <v>110.70000000000002</v>
      </c>
      <c r="DO21" s="209"/>
      <c r="DP21" s="210"/>
      <c r="DQ21" s="210"/>
      <c r="DR21" s="210"/>
      <c r="DS21" s="210">
        <v>19.8</v>
      </c>
      <c r="DT21" s="210">
        <v>27.2</v>
      </c>
      <c r="DU21" s="211">
        <f>10.8+1.15+2.17+5.41</f>
        <v>19.53</v>
      </c>
      <c r="DV21" s="255">
        <f>SUM(DO21:DU21)</f>
        <v>66.53</v>
      </c>
      <c r="DX21" s="209"/>
      <c r="DY21" s="210"/>
      <c r="DZ21" s="210"/>
      <c r="EA21" s="210">
        <f>3.07+2.44+2.672+0.784+1.8+3.4+1+2.05+1.71</f>
        <v>18.926000000000002</v>
      </c>
      <c r="EB21" s="210"/>
      <c r="EC21" s="210"/>
      <c r="ED21" s="211"/>
      <c r="EE21" s="255">
        <f>SUM(DX21:ED21)</f>
        <v>18.926000000000002</v>
      </c>
      <c r="EG21" s="209"/>
      <c r="EH21" s="210"/>
      <c r="EI21" s="210"/>
      <c r="EJ21" s="210"/>
      <c r="EK21" s="210"/>
      <c r="EL21" s="210"/>
      <c r="EM21" s="211"/>
      <c r="EN21" s="255">
        <f>SUM(EG21:EM21)</f>
        <v>0</v>
      </c>
      <c r="EP21" s="209"/>
      <c r="EQ21" s="210"/>
      <c r="ER21" s="210"/>
      <c r="ES21" s="210"/>
      <c r="ET21" s="210"/>
      <c r="EU21" s="210"/>
      <c r="EV21" s="211"/>
      <c r="EW21" s="255">
        <f>SUM(EP21:EV21)</f>
        <v>0</v>
      </c>
    </row>
    <row r="22" spans="1:153" ht="15.6" x14ac:dyDescent="0.3">
      <c r="B22" s="798"/>
      <c r="C22" s="513" t="s">
        <v>129</v>
      </c>
      <c r="D22" s="514"/>
      <c r="E22" s="515" t="s">
        <v>291</v>
      </c>
      <c r="F22" s="176" t="s">
        <v>26</v>
      </c>
      <c r="G22" s="177"/>
      <c r="H22" s="166"/>
      <c r="I22" s="173">
        <f t="shared" ref="I22:O22" si="173">I23+I24</f>
        <v>12109.869999999999</v>
      </c>
      <c r="J22" s="173">
        <f t="shared" si="173"/>
        <v>15852.420000000002</v>
      </c>
      <c r="K22" s="173">
        <f t="shared" si="173"/>
        <v>15962.7</v>
      </c>
      <c r="L22" s="173">
        <f t="shared" si="173"/>
        <v>14421.18</v>
      </c>
      <c r="M22" s="173">
        <f t="shared" si="173"/>
        <v>11566.72</v>
      </c>
      <c r="N22" s="173">
        <f t="shared" si="173"/>
        <v>10999.84</v>
      </c>
      <c r="O22" s="174">
        <f t="shared" si="173"/>
        <v>5187.3899999999994</v>
      </c>
      <c r="P22" s="178"/>
      <c r="Q22" s="175">
        <f>9925.29+4271.3</f>
        <v>14196.59</v>
      </c>
      <c r="R22" s="173">
        <f>R23+R24</f>
        <v>16055.72</v>
      </c>
      <c r="S22" s="173">
        <f>S23+S24</f>
        <v>16278.43</v>
      </c>
      <c r="T22" s="173">
        <f>T23+T24</f>
        <v>14387.99</v>
      </c>
      <c r="U22" s="173">
        <f>U23+U24</f>
        <v>10805.73</v>
      </c>
      <c r="V22" s="173">
        <f t="shared" ref="V22:W22" si="174">V23+V24</f>
        <v>8833.83</v>
      </c>
      <c r="W22" s="173">
        <f t="shared" si="174"/>
        <v>5486.14</v>
      </c>
      <c r="X22" s="172"/>
      <c r="Y22" s="173">
        <f>Y23+Y24</f>
        <v>12895.130000000001</v>
      </c>
      <c r="Z22" s="173">
        <f>11516.18+Z24</f>
        <v>16572.900000000001</v>
      </c>
      <c r="AA22" s="173">
        <f>11516.18+AA24</f>
        <v>17475.900000000001</v>
      </c>
      <c r="AB22" s="173">
        <f>11516.18+AB24</f>
        <v>33910.81</v>
      </c>
      <c r="AC22" s="173">
        <f>AC23+AC24</f>
        <v>26035.65</v>
      </c>
      <c r="AD22" s="173">
        <f t="shared" ref="AD22:AE22" si="175">AD23+AD24</f>
        <v>14625.619999999999</v>
      </c>
      <c r="AE22" s="173">
        <f t="shared" si="175"/>
        <v>7334.7699999999995</v>
      </c>
      <c r="AG22" s="173">
        <v>7477.22</v>
      </c>
      <c r="AH22" s="173">
        <f>AH23+AH24</f>
        <v>32737.700000000004</v>
      </c>
      <c r="AI22" s="173"/>
      <c r="AJ22" s="173">
        <f>AJ23+AJ24</f>
        <v>28701.5</v>
      </c>
      <c r="AK22" s="173"/>
      <c r="AL22" s="173"/>
      <c r="AM22" s="173"/>
      <c r="AO22" s="173"/>
      <c r="AP22" s="173">
        <f>AP23+AP24</f>
        <v>33029.31</v>
      </c>
      <c r="AQ22" s="173">
        <f>AQ23+AQ24</f>
        <v>33347.590000000004</v>
      </c>
      <c r="AR22" s="173">
        <f>AR23+AR24</f>
        <v>30359.45</v>
      </c>
      <c r="AS22" s="173">
        <f t="shared" ref="AS22:AU22" si="176">AS23+AS24</f>
        <v>25041.15</v>
      </c>
      <c r="AT22" s="173">
        <f t="shared" si="176"/>
        <v>17609.920000000002</v>
      </c>
      <c r="AU22" s="173">
        <f t="shared" si="176"/>
        <v>8505.39</v>
      </c>
      <c r="AW22" s="173"/>
      <c r="AX22" s="173">
        <v>10956.5</v>
      </c>
      <c r="AY22" s="173">
        <f>AY23+AY24</f>
        <v>31127.120000000003</v>
      </c>
      <c r="AZ22" s="173">
        <f>AZ24+AZ23</f>
        <v>29108.38</v>
      </c>
      <c r="BA22" s="173">
        <f t="shared" ref="BA22:BC22" si="177">BA24+BA23</f>
        <v>23782.129999999997</v>
      </c>
      <c r="BB22" s="173">
        <f t="shared" si="177"/>
        <v>10492.6</v>
      </c>
      <c r="BC22" s="173">
        <f t="shared" si="177"/>
        <v>5937.51</v>
      </c>
      <c r="BE22" s="173">
        <f>BE23+BE24</f>
        <v>36074.559999999998</v>
      </c>
      <c r="BF22" s="173">
        <f>BF23+BF24</f>
        <v>43416.22</v>
      </c>
      <c r="BG22" s="173"/>
      <c r="BH22" s="173">
        <f>BH23+BH24</f>
        <v>31383.1</v>
      </c>
      <c r="BI22" s="173">
        <f>BI23+BI24</f>
        <v>25968.14</v>
      </c>
      <c r="BJ22" s="173">
        <f t="shared" ref="BJ22:BK22" si="178">BJ23+BJ24</f>
        <v>14392.85</v>
      </c>
      <c r="BK22" s="173">
        <f t="shared" si="178"/>
        <v>6300.01</v>
      </c>
      <c r="BM22" s="212">
        <f>BM23+BM24</f>
        <v>28552.68</v>
      </c>
      <c r="BN22" s="173">
        <f>BN23+BN24</f>
        <v>35379.869999999995</v>
      </c>
      <c r="BO22" s="173">
        <f>10657.16+22400.63</f>
        <v>33057.79</v>
      </c>
      <c r="BP22" s="173">
        <f>10657.16+22400.63</f>
        <v>33057.79</v>
      </c>
      <c r="BQ22" s="173">
        <f>BQ23+BQ24</f>
        <v>26308.440000000002</v>
      </c>
      <c r="BR22" s="173">
        <f t="shared" ref="BR22:BS22" si="179">BR23+BR24</f>
        <v>21301.33</v>
      </c>
      <c r="BS22" s="173">
        <f t="shared" si="179"/>
        <v>7227.26</v>
      </c>
      <c r="BT22" s="256">
        <f t="shared" ref="BT22:BT27" si="180">SUM(BM22:BS22)</f>
        <v>184885.16000000003</v>
      </c>
      <c r="BV22" s="293">
        <f>BV24+BV23</f>
        <v>26282.340000000004</v>
      </c>
      <c r="BW22" s="173">
        <f>BW24+BW23</f>
        <v>32243.15</v>
      </c>
      <c r="BX22" s="173">
        <f>BX23+BX24</f>
        <v>32746.129999999997</v>
      </c>
      <c r="BY22" s="173">
        <f>BY23+BY24</f>
        <v>30756.47</v>
      </c>
      <c r="BZ22" s="173">
        <f t="shared" ref="BZ22:CB22" si="181">BZ23+BZ24</f>
        <v>24054.33</v>
      </c>
      <c r="CA22" s="173">
        <f t="shared" si="181"/>
        <v>12315.61</v>
      </c>
      <c r="CB22" s="173">
        <f t="shared" si="181"/>
        <v>11198.16</v>
      </c>
      <c r="CC22" s="256">
        <f t="shared" ref="CC22:CC27" si="182">SUM(BV22:CB22)</f>
        <v>169596.18999999997</v>
      </c>
      <c r="CE22" s="293">
        <f>CE23+CE24</f>
        <v>27376.53</v>
      </c>
      <c r="CF22" s="173">
        <f>CF23+CF24</f>
        <v>34975.18</v>
      </c>
      <c r="CG22" s="173">
        <f>CG23+CG24</f>
        <v>40235.54</v>
      </c>
      <c r="CH22" s="173">
        <f>CH23+CH24</f>
        <v>33546.17</v>
      </c>
      <c r="CI22" s="173">
        <f t="shared" ref="CI22:CK22" si="183">CI23+CI24</f>
        <v>30206</v>
      </c>
      <c r="CJ22" s="173">
        <f t="shared" si="183"/>
        <v>21383</v>
      </c>
      <c r="CK22" s="173">
        <f t="shared" si="183"/>
        <v>6157</v>
      </c>
      <c r="CL22" s="256">
        <f t="shared" ref="CL22:CL27" si="184">SUM(CE22:CK22)</f>
        <v>193879.41999999998</v>
      </c>
      <c r="CN22" s="173">
        <f t="shared" ref="CN22:CO22" si="185">CN23+CN24</f>
        <v>6123</v>
      </c>
      <c r="CO22" s="173">
        <f t="shared" si="185"/>
        <v>31915.45</v>
      </c>
      <c r="CP22" s="173">
        <f>CP23+CP24</f>
        <v>26074.280000000002</v>
      </c>
      <c r="CQ22" s="173">
        <f>CQ23+CQ24</f>
        <v>30513.46</v>
      </c>
      <c r="CR22" s="173">
        <f t="shared" ref="CR22:CT22" si="186">CR23+CR24</f>
        <v>23663.300000000003</v>
      </c>
      <c r="CS22" s="173">
        <f t="shared" si="186"/>
        <v>18561.27</v>
      </c>
      <c r="CT22" s="173">
        <f t="shared" si="186"/>
        <v>10065.01</v>
      </c>
      <c r="CU22" s="256">
        <f t="shared" ref="CU22:CU27" si="187">SUM(CN22:CT22)</f>
        <v>146915.77000000002</v>
      </c>
      <c r="CW22" s="212">
        <f t="shared" ref="CW22" si="188">CW23+CW24</f>
        <v>35414.93</v>
      </c>
      <c r="CX22" s="173">
        <f>CX23+CX24</f>
        <v>40038.61</v>
      </c>
      <c r="CY22" s="173">
        <f>CY23+CY24</f>
        <v>40211.360000000001</v>
      </c>
      <c r="CZ22" s="173">
        <f>CZ23+CZ24</f>
        <v>35607.240000000005</v>
      </c>
      <c r="DA22" s="173">
        <f t="shared" ref="DA22:DC22" si="189">DA23+DA24</f>
        <v>28941.599999999999</v>
      </c>
      <c r="DB22" s="173">
        <f t="shared" si="189"/>
        <v>23549.600000000002</v>
      </c>
      <c r="DC22" s="173">
        <f t="shared" si="189"/>
        <v>12358.16</v>
      </c>
      <c r="DD22" s="256">
        <f t="shared" ref="DD22:DD27" si="190">SUM(CW22:DC22)</f>
        <v>216121.50000000003</v>
      </c>
      <c r="DF22" s="212">
        <f>DF23+DF24</f>
        <v>33614.43</v>
      </c>
      <c r="DG22" s="173">
        <f>DG23+DG24</f>
        <v>36500.910000000003</v>
      </c>
      <c r="DH22" s="173">
        <f>DH23+DH24</f>
        <v>36913.599999999999</v>
      </c>
      <c r="DI22" s="173">
        <f>DI23+DI24</f>
        <v>23816.71</v>
      </c>
      <c r="DJ22" s="173"/>
      <c r="DK22" s="173"/>
      <c r="DL22" s="173"/>
      <c r="DM22" s="256">
        <f t="shared" ref="DM22:DM27" si="191">SUM(DF22:DL22)</f>
        <v>130845.65</v>
      </c>
      <c r="DO22" s="212"/>
      <c r="DP22" s="173"/>
      <c r="DQ22" s="173"/>
      <c r="DR22" s="173"/>
      <c r="DS22" s="173">
        <f>DS23+DS24</f>
        <v>0</v>
      </c>
      <c r="DT22" s="173">
        <f t="shared" ref="DT22:DU22" si="192">DT23+DT24</f>
        <v>11917.3</v>
      </c>
      <c r="DU22" s="173">
        <f t="shared" si="192"/>
        <v>2293.75</v>
      </c>
      <c r="DV22" s="256">
        <f t="shared" ref="DV22:DV27" si="193">SUM(DO22:DU22)</f>
        <v>14211.05</v>
      </c>
      <c r="DX22" s="212">
        <f>DX23+DX24</f>
        <v>4279.66</v>
      </c>
      <c r="DY22" s="173">
        <f>DY23+DY24</f>
        <v>6290.48</v>
      </c>
      <c r="DZ22" s="173">
        <f>DZ23+DZ24</f>
        <v>5400.11</v>
      </c>
      <c r="EA22" s="173">
        <f>EA23+EA24</f>
        <v>19156.29</v>
      </c>
      <c r="EB22" s="173"/>
      <c r="EC22" s="173"/>
      <c r="ED22" s="173"/>
      <c r="EE22" s="256">
        <f t="shared" ref="EE22:EE27" si="194">SUM(DX22:ED22)</f>
        <v>35126.54</v>
      </c>
      <c r="EG22" s="212"/>
      <c r="EH22" s="173"/>
      <c r="EI22" s="173"/>
      <c r="EJ22" s="173"/>
      <c r="EK22" s="173"/>
      <c r="EL22" s="173"/>
      <c r="EM22" s="173"/>
      <c r="EN22" s="256">
        <f t="shared" ref="EN22:EN27" si="195">SUM(EG22:EM22)</f>
        <v>0</v>
      </c>
      <c r="EP22" s="212"/>
      <c r="EQ22" s="173"/>
      <c r="ER22" s="173"/>
      <c r="ES22" s="173"/>
      <c r="ET22" s="173"/>
      <c r="EU22" s="173"/>
      <c r="EV22" s="173"/>
      <c r="EW22" s="256">
        <f t="shared" ref="EW22:EW27" si="196">SUM(EP22:EV22)</f>
        <v>0</v>
      </c>
    </row>
    <row r="23" spans="1:153" ht="15.6" x14ac:dyDescent="0.3">
      <c r="B23" s="798"/>
      <c r="C23" s="777" t="s">
        <v>130</v>
      </c>
      <c r="D23" s="778"/>
      <c r="E23" s="515" t="s">
        <v>292</v>
      </c>
      <c r="F23" s="771" t="s">
        <v>26</v>
      </c>
      <c r="G23" s="772"/>
      <c r="H23" s="166"/>
      <c r="I23" s="173">
        <v>6790.95</v>
      </c>
      <c r="J23" s="173">
        <v>10576.2</v>
      </c>
      <c r="K23" s="173">
        <v>10954.61</v>
      </c>
      <c r="L23" s="173">
        <v>10056.41</v>
      </c>
      <c r="M23" s="173">
        <v>8039</v>
      </c>
      <c r="N23" s="173">
        <v>3144.79</v>
      </c>
      <c r="O23" s="174">
        <v>2321.71</v>
      </c>
      <c r="P23" s="178"/>
      <c r="Q23" s="175">
        <v>9925.2900000000009</v>
      </c>
      <c r="R23" s="173">
        <v>10896.06</v>
      </c>
      <c r="S23" s="173">
        <v>10804.17</v>
      </c>
      <c r="T23" s="173">
        <v>9787.99</v>
      </c>
      <c r="U23" s="173">
        <v>7723.63</v>
      </c>
      <c r="V23" s="173">
        <v>3391.31</v>
      </c>
      <c r="W23" s="173">
        <v>1991.24</v>
      </c>
      <c r="X23" s="172"/>
      <c r="Y23" s="173">
        <v>8810.11</v>
      </c>
      <c r="Z23" s="173">
        <v>11516.18</v>
      </c>
      <c r="AA23" s="173">
        <v>10634.89</v>
      </c>
      <c r="AB23" s="173">
        <v>8672.2199999999993</v>
      </c>
      <c r="AC23" s="173">
        <v>6687.11</v>
      </c>
      <c r="AD23" s="173">
        <v>2543.5500000000002</v>
      </c>
      <c r="AE23" s="173">
        <v>2547.41</v>
      </c>
      <c r="AG23" s="173"/>
      <c r="AH23" s="173">
        <v>10249.120000000001</v>
      </c>
      <c r="AI23" s="173"/>
      <c r="AJ23" s="173">
        <v>8427.9599999999991</v>
      </c>
      <c r="AK23" s="173"/>
      <c r="AL23" s="173"/>
      <c r="AM23" s="173"/>
      <c r="AO23" s="173"/>
      <c r="AP23" s="173">
        <v>10212.469999999999</v>
      </c>
      <c r="AQ23" s="173">
        <v>10081.280000000001</v>
      </c>
      <c r="AR23" s="173">
        <v>9043.73</v>
      </c>
      <c r="AS23" s="173">
        <v>6484.74</v>
      </c>
      <c r="AT23" s="173">
        <v>3844.3</v>
      </c>
      <c r="AU23" s="173">
        <v>2738.06</v>
      </c>
      <c r="AW23" s="173"/>
      <c r="AX23" s="173">
        <v>10956.5</v>
      </c>
      <c r="AY23" s="173">
        <v>9753.6</v>
      </c>
      <c r="AZ23" s="173">
        <v>8389.07</v>
      </c>
      <c r="BA23" s="173">
        <v>5979.12</v>
      </c>
      <c r="BB23" s="173">
        <v>2995.93</v>
      </c>
      <c r="BC23" s="173">
        <v>2082.46</v>
      </c>
      <c r="BE23" s="173">
        <v>7998</v>
      </c>
      <c r="BF23" s="173">
        <v>11630.91</v>
      </c>
      <c r="BG23" s="173">
        <v>11865.55</v>
      </c>
      <c r="BH23" s="173">
        <v>9693.1299999999992</v>
      </c>
      <c r="BI23" s="173">
        <v>6992.57</v>
      </c>
      <c r="BJ23" s="173">
        <v>3747.11</v>
      </c>
      <c r="BK23" s="173">
        <v>2540.11</v>
      </c>
      <c r="BM23" s="212">
        <v>7038.43</v>
      </c>
      <c r="BN23" s="173">
        <v>10987.45</v>
      </c>
      <c r="BO23" s="173">
        <v>10657.16</v>
      </c>
      <c r="BP23" s="173">
        <v>8805.7999999999993</v>
      </c>
      <c r="BQ23" s="173">
        <v>7124.76</v>
      </c>
      <c r="BR23" s="173">
        <v>5313.17</v>
      </c>
      <c r="BS23" s="213">
        <v>2315.35</v>
      </c>
      <c r="BT23" s="256">
        <f t="shared" si="180"/>
        <v>52242.119999999995</v>
      </c>
      <c r="BV23" s="212">
        <v>5604.1</v>
      </c>
      <c r="BW23" s="173">
        <v>10901.67</v>
      </c>
      <c r="BX23" s="173">
        <v>10491.33</v>
      </c>
      <c r="BY23" s="173">
        <v>8570.89</v>
      </c>
      <c r="BZ23" s="173">
        <v>6464.47</v>
      </c>
      <c r="CA23" s="173">
        <v>2961.86</v>
      </c>
      <c r="CB23" s="213">
        <v>2536</v>
      </c>
      <c r="CC23" s="256">
        <f t="shared" si="182"/>
        <v>47530.32</v>
      </c>
      <c r="CE23" s="212">
        <v>7592.51</v>
      </c>
      <c r="CF23" s="173">
        <v>11371.11</v>
      </c>
      <c r="CG23" s="173">
        <v>10474.07</v>
      </c>
      <c r="CH23" s="173">
        <v>7414</v>
      </c>
      <c r="CI23" s="173">
        <v>5278</v>
      </c>
      <c r="CJ23" s="173">
        <v>3349</v>
      </c>
      <c r="CK23" s="213">
        <v>2083</v>
      </c>
      <c r="CL23" s="256">
        <f t="shared" si="184"/>
        <v>47561.69</v>
      </c>
      <c r="CN23" s="212">
        <v>2005</v>
      </c>
      <c r="CO23" s="173">
        <v>8694.39</v>
      </c>
      <c r="CP23" s="173">
        <v>7255.63</v>
      </c>
      <c r="CQ23" s="173">
        <v>8469.14</v>
      </c>
      <c r="CR23" s="173">
        <v>5875.47</v>
      </c>
      <c r="CS23" s="173">
        <v>4354.1000000000004</v>
      </c>
      <c r="CT23" s="213">
        <v>2888.48</v>
      </c>
      <c r="CU23" s="256">
        <f t="shared" si="187"/>
        <v>39542.210000000006</v>
      </c>
      <c r="CW23" s="212">
        <v>10629</v>
      </c>
      <c r="CX23" s="173">
        <v>11701.14</v>
      </c>
      <c r="CY23" s="173">
        <v>11268.64</v>
      </c>
      <c r="CZ23" s="173">
        <v>9425.93</v>
      </c>
      <c r="DA23" s="173">
        <v>6189.08</v>
      </c>
      <c r="DB23" s="173">
        <v>5054.79</v>
      </c>
      <c r="DC23" s="213">
        <v>2772.07</v>
      </c>
      <c r="DD23" s="256">
        <f t="shared" si="190"/>
        <v>57040.65</v>
      </c>
      <c r="DF23" s="212">
        <v>9642.0499999999993</v>
      </c>
      <c r="DG23" s="173">
        <v>10917.21</v>
      </c>
      <c r="DH23" s="173">
        <v>11350.67</v>
      </c>
      <c r="DI23" s="173">
        <v>4613.79</v>
      </c>
      <c r="DJ23" s="173"/>
      <c r="DK23" s="173"/>
      <c r="DL23" s="213"/>
      <c r="DM23" s="256">
        <f t="shared" si="191"/>
        <v>36523.72</v>
      </c>
      <c r="DO23" s="212"/>
      <c r="DP23" s="173"/>
      <c r="DQ23" s="173"/>
      <c r="DR23" s="173"/>
      <c r="DS23" s="173">
        <v>0</v>
      </c>
      <c r="DT23" s="173">
        <v>4266.97</v>
      </c>
      <c r="DU23" s="213">
        <v>469.21</v>
      </c>
      <c r="DV23" s="256">
        <f t="shared" si="193"/>
        <v>4736.18</v>
      </c>
      <c r="DX23" s="212">
        <v>894.28</v>
      </c>
      <c r="DY23" s="173">
        <v>3468.48</v>
      </c>
      <c r="DZ23" s="173">
        <v>1005.21</v>
      </c>
      <c r="EA23" s="173">
        <v>6257.92</v>
      </c>
      <c r="EB23" s="173"/>
      <c r="EC23" s="173"/>
      <c r="ED23" s="213"/>
      <c r="EE23" s="256">
        <f t="shared" si="194"/>
        <v>11625.89</v>
      </c>
      <c r="EG23" s="212"/>
      <c r="EH23" s="173"/>
      <c r="EI23" s="173"/>
      <c r="EJ23" s="173"/>
      <c r="EK23" s="173"/>
      <c r="EL23" s="173"/>
      <c r="EM23" s="213"/>
      <c r="EN23" s="256">
        <f t="shared" si="195"/>
        <v>0</v>
      </c>
      <c r="EP23" s="212"/>
      <c r="EQ23" s="173"/>
      <c r="ER23" s="173"/>
      <c r="ES23" s="173"/>
      <c r="ET23" s="173"/>
      <c r="EU23" s="173"/>
      <c r="EV23" s="213"/>
      <c r="EW23" s="256">
        <f t="shared" si="196"/>
        <v>0</v>
      </c>
    </row>
    <row r="24" spans="1:153" ht="15.6" x14ac:dyDescent="0.3">
      <c r="B24" s="798"/>
      <c r="C24" s="777" t="s">
        <v>131</v>
      </c>
      <c r="D24" s="778"/>
      <c r="E24" s="515" t="s">
        <v>293</v>
      </c>
      <c r="F24" s="771" t="s">
        <v>26</v>
      </c>
      <c r="G24" s="772"/>
      <c r="H24" s="166"/>
      <c r="I24" s="173">
        <v>5318.92</v>
      </c>
      <c r="J24" s="173">
        <v>5276.22</v>
      </c>
      <c r="K24" s="173">
        <v>5008.09</v>
      </c>
      <c r="L24" s="173">
        <v>4364.7700000000004</v>
      </c>
      <c r="M24" s="173">
        <v>3527.72</v>
      </c>
      <c r="N24" s="173">
        <v>7855.05</v>
      </c>
      <c r="O24" s="174">
        <v>2865.68</v>
      </c>
      <c r="P24" s="178"/>
      <c r="Q24" s="175">
        <v>4271.3</v>
      </c>
      <c r="R24" s="173">
        <v>5159.66</v>
      </c>
      <c r="S24" s="173">
        <v>5474.26</v>
      </c>
      <c r="T24" s="173">
        <v>4600</v>
      </c>
      <c r="U24" s="173">
        <v>3082.1</v>
      </c>
      <c r="V24" s="173">
        <v>5442.52</v>
      </c>
      <c r="W24" s="173">
        <v>3494.9</v>
      </c>
      <c r="X24" s="172"/>
      <c r="Y24" s="173">
        <v>4085.02</v>
      </c>
      <c r="Z24" s="173">
        <v>5056.72</v>
      </c>
      <c r="AA24" s="173">
        <v>5959.72</v>
      </c>
      <c r="AB24" s="173">
        <v>22394.63</v>
      </c>
      <c r="AC24" s="173">
        <v>19348.54</v>
      </c>
      <c r="AD24" s="173">
        <v>12082.07</v>
      </c>
      <c r="AE24" s="173">
        <v>4787.3599999999997</v>
      </c>
      <c r="AG24" s="173"/>
      <c r="AH24" s="173">
        <v>22488.58</v>
      </c>
      <c r="AI24" s="173"/>
      <c r="AJ24" s="173">
        <v>20273.54</v>
      </c>
      <c r="AK24" s="173"/>
      <c r="AL24" s="173"/>
      <c r="AM24" s="173"/>
      <c r="AO24" s="173"/>
      <c r="AP24" s="173">
        <v>22816.84</v>
      </c>
      <c r="AQ24" s="173">
        <v>23266.31</v>
      </c>
      <c r="AR24" s="173">
        <v>21315.72</v>
      </c>
      <c r="AS24" s="173">
        <v>18556.41</v>
      </c>
      <c r="AT24" s="173">
        <v>13765.62</v>
      </c>
      <c r="AU24" s="173">
        <v>5767.33</v>
      </c>
      <c r="AW24" s="173"/>
      <c r="AX24" s="173">
        <v>23378.94</v>
      </c>
      <c r="AY24" s="173">
        <v>21373.52</v>
      </c>
      <c r="AZ24" s="173">
        <v>20719.310000000001</v>
      </c>
      <c r="BA24" s="173">
        <v>17803.009999999998</v>
      </c>
      <c r="BB24" s="173">
        <v>7496.67</v>
      </c>
      <c r="BC24" s="173">
        <v>3855.05</v>
      </c>
      <c r="BE24" s="173">
        <v>28076.560000000001</v>
      </c>
      <c r="BF24" s="173">
        <v>31785.31</v>
      </c>
      <c r="BG24" s="173"/>
      <c r="BH24" s="173">
        <v>21689.97</v>
      </c>
      <c r="BI24" s="173">
        <v>18975.57</v>
      </c>
      <c r="BJ24" s="173">
        <v>10645.74</v>
      </c>
      <c r="BK24" s="173">
        <v>3759.9</v>
      </c>
      <c r="BM24" s="212">
        <v>21514.25</v>
      </c>
      <c r="BN24" s="173">
        <v>24392.42</v>
      </c>
      <c r="BO24" s="173">
        <v>22400.63</v>
      </c>
      <c r="BP24" s="173">
        <v>20298.689999999999</v>
      </c>
      <c r="BQ24" s="173">
        <v>19183.68</v>
      </c>
      <c r="BR24" s="173">
        <v>15988.16</v>
      </c>
      <c r="BS24" s="213">
        <v>4911.91</v>
      </c>
      <c r="BT24" s="256">
        <f t="shared" si="180"/>
        <v>128689.74000000002</v>
      </c>
      <c r="BV24" s="212">
        <v>20678.240000000002</v>
      </c>
      <c r="BW24" s="173">
        <v>21341.48</v>
      </c>
      <c r="BX24" s="173">
        <v>22254.799999999999</v>
      </c>
      <c r="BY24" s="173">
        <v>22185.58</v>
      </c>
      <c r="BZ24" s="173">
        <v>17589.86</v>
      </c>
      <c r="CA24" s="173">
        <v>9353.75</v>
      </c>
      <c r="CB24" s="213">
        <v>8662.16</v>
      </c>
      <c r="CC24" s="256">
        <f t="shared" si="182"/>
        <v>122065.87000000001</v>
      </c>
      <c r="CE24" s="212">
        <v>19784.02</v>
      </c>
      <c r="CF24" s="173">
        <v>23604.07</v>
      </c>
      <c r="CG24" s="173">
        <v>29761.47</v>
      </c>
      <c r="CH24" s="173">
        <v>26132.17</v>
      </c>
      <c r="CI24" s="173">
        <v>24928</v>
      </c>
      <c r="CJ24" s="173">
        <v>18034</v>
      </c>
      <c r="CK24" s="213">
        <v>4074</v>
      </c>
      <c r="CL24" s="256">
        <f t="shared" si="184"/>
        <v>146317.72999999998</v>
      </c>
      <c r="CN24" s="212">
        <v>4118</v>
      </c>
      <c r="CO24" s="173">
        <v>23221.06</v>
      </c>
      <c r="CP24" s="173">
        <v>18818.650000000001</v>
      </c>
      <c r="CQ24" s="173">
        <v>22044.32</v>
      </c>
      <c r="CR24" s="173">
        <v>17787.830000000002</v>
      </c>
      <c r="CS24" s="173">
        <v>14207.17</v>
      </c>
      <c r="CT24" s="213">
        <v>7176.53</v>
      </c>
      <c r="CU24" s="256">
        <f t="shared" si="187"/>
        <v>107373.56</v>
      </c>
      <c r="CW24" s="212">
        <v>24785.93</v>
      </c>
      <c r="CX24" s="173">
        <v>28337.47</v>
      </c>
      <c r="CY24" s="173">
        <v>28942.720000000001</v>
      </c>
      <c r="CZ24" s="173">
        <v>26181.31</v>
      </c>
      <c r="DA24" s="173">
        <v>22752.52</v>
      </c>
      <c r="DB24" s="173">
        <v>18494.810000000001</v>
      </c>
      <c r="DC24" s="213">
        <v>9586.09</v>
      </c>
      <c r="DD24" s="256">
        <f t="shared" si="190"/>
        <v>159080.85</v>
      </c>
      <c r="DF24" s="212">
        <v>23972.38</v>
      </c>
      <c r="DG24" s="173">
        <v>25583.7</v>
      </c>
      <c r="DH24" s="173">
        <v>25562.93</v>
      </c>
      <c r="DI24" s="173">
        <v>19202.919999999998</v>
      </c>
      <c r="DJ24" s="173"/>
      <c r="DK24" s="173"/>
      <c r="DL24" s="213"/>
      <c r="DM24" s="256">
        <f t="shared" si="191"/>
        <v>94321.930000000008</v>
      </c>
      <c r="DO24" s="212"/>
      <c r="DP24" s="173"/>
      <c r="DQ24" s="173"/>
      <c r="DR24" s="173"/>
      <c r="DS24" s="173">
        <v>0</v>
      </c>
      <c r="DT24" s="173">
        <v>7650.33</v>
      </c>
      <c r="DU24" s="213">
        <v>1824.54</v>
      </c>
      <c r="DV24" s="256">
        <f t="shared" si="193"/>
        <v>9474.869999999999</v>
      </c>
      <c r="DX24" s="212">
        <v>3385.38</v>
      </c>
      <c r="DY24" s="173">
        <v>2822</v>
      </c>
      <c r="DZ24" s="173">
        <v>4394.8999999999996</v>
      </c>
      <c r="EA24" s="173">
        <v>12898.37</v>
      </c>
      <c r="EB24" s="173"/>
      <c r="EC24" s="173"/>
      <c r="ED24" s="213"/>
      <c r="EE24" s="256">
        <f t="shared" si="194"/>
        <v>23500.65</v>
      </c>
      <c r="EG24" s="212"/>
      <c r="EH24" s="173"/>
      <c r="EI24" s="173"/>
      <c r="EJ24" s="173"/>
      <c r="EK24" s="173"/>
      <c r="EL24" s="173"/>
      <c r="EM24" s="213"/>
      <c r="EN24" s="256">
        <f t="shared" si="195"/>
        <v>0</v>
      </c>
      <c r="EP24" s="212"/>
      <c r="EQ24" s="173"/>
      <c r="ER24" s="173"/>
      <c r="ES24" s="173"/>
      <c r="ET24" s="173"/>
      <c r="EU24" s="173"/>
      <c r="EV24" s="213"/>
      <c r="EW24" s="256">
        <f t="shared" si="196"/>
        <v>0</v>
      </c>
    </row>
    <row r="25" spans="1:153" ht="15.6" x14ac:dyDescent="0.3">
      <c r="B25" s="798"/>
      <c r="C25" s="513" t="s">
        <v>132</v>
      </c>
      <c r="D25" s="514"/>
      <c r="E25" s="515" t="s">
        <v>306</v>
      </c>
      <c r="F25" s="179" t="s">
        <v>133</v>
      </c>
      <c r="G25" s="180"/>
      <c r="H25" s="166"/>
      <c r="I25" s="173">
        <v>0</v>
      </c>
      <c r="J25" s="173">
        <f>270696*0.028</f>
        <v>7579.4880000000003</v>
      </c>
      <c r="K25" s="173">
        <f>67814*0.028</f>
        <v>1898.7920000000001</v>
      </c>
      <c r="L25" s="173">
        <f>135404*0.028</f>
        <v>3791.3119999999999</v>
      </c>
      <c r="M25" s="173">
        <f>106074*0.028</f>
        <v>2970.0720000000001</v>
      </c>
      <c r="N25" s="173">
        <f>44870*0.028</f>
        <v>1256.3600000000001</v>
      </c>
      <c r="O25" s="174">
        <f>10202*0.028</f>
        <v>285.65600000000001</v>
      </c>
      <c r="P25" s="172"/>
      <c r="Q25" s="175">
        <f>108696*0.028</f>
        <v>3043.4880000000003</v>
      </c>
      <c r="R25" s="173">
        <f>146660*0.028</f>
        <v>4106.4800000000005</v>
      </c>
      <c r="S25" s="173">
        <f>148240*0.028</f>
        <v>4150.72</v>
      </c>
      <c r="T25" s="173">
        <f>130754*0.028</f>
        <v>3661.1120000000001</v>
      </c>
      <c r="U25" s="173"/>
      <c r="V25" s="173"/>
      <c r="W25" s="173"/>
      <c r="X25" s="172"/>
      <c r="Y25" s="173"/>
      <c r="Z25" s="173">
        <v>155650</v>
      </c>
      <c r="AA25" s="173">
        <v>119602</v>
      </c>
      <c r="AB25" s="173">
        <v>50794</v>
      </c>
      <c r="AC25" s="173">
        <v>30616</v>
      </c>
      <c r="AD25" s="173">
        <v>17564</v>
      </c>
      <c r="AE25" s="173">
        <v>9602</v>
      </c>
      <c r="AG25" s="173">
        <v>31992</v>
      </c>
      <c r="AH25" s="173">
        <v>52388</v>
      </c>
      <c r="AI25" s="173">
        <v>50850</v>
      </c>
      <c r="AJ25" s="173">
        <v>43038</v>
      </c>
      <c r="AK25" s="173">
        <v>32794</v>
      </c>
      <c r="AL25" s="173">
        <v>15750</v>
      </c>
      <c r="AM25" s="173">
        <v>4992</v>
      </c>
      <c r="AO25" s="173">
        <v>3782</v>
      </c>
      <c r="AP25" s="173">
        <v>57652</v>
      </c>
      <c r="AQ25" s="173">
        <v>53090</v>
      </c>
      <c r="AR25" s="173"/>
      <c r="AS25" s="173">
        <v>86992</v>
      </c>
      <c r="AT25" s="173">
        <v>20906</v>
      </c>
      <c r="AU25" s="173">
        <v>12052</v>
      </c>
      <c r="AW25" s="173">
        <v>3104.2</v>
      </c>
      <c r="AX25" s="173">
        <v>55906</v>
      </c>
      <c r="AY25" s="173">
        <v>54565</v>
      </c>
      <c r="AZ25" s="173">
        <v>43567</v>
      </c>
      <c r="BA25" s="173">
        <v>29495</v>
      </c>
      <c r="BB25" s="173">
        <v>14413</v>
      </c>
      <c r="BC25" s="173">
        <v>10775</v>
      </c>
      <c r="BE25" s="173">
        <v>46156</v>
      </c>
      <c r="BF25" s="173">
        <v>60852</v>
      </c>
      <c r="BG25" s="173">
        <v>60491</v>
      </c>
      <c r="BH25" s="173">
        <v>50859</v>
      </c>
      <c r="BI25" s="173">
        <v>36518</v>
      </c>
      <c r="BJ25" s="173">
        <v>18025</v>
      </c>
      <c r="BK25" s="173">
        <v>6594</v>
      </c>
      <c r="BM25" s="212">
        <v>42130</v>
      </c>
      <c r="BN25" s="173">
        <v>53501</v>
      </c>
      <c r="BO25" s="173">
        <v>47752</v>
      </c>
      <c r="BP25" s="173">
        <v>41992</v>
      </c>
      <c r="BQ25" s="173">
        <v>37644</v>
      </c>
      <c r="BR25" s="173">
        <v>25393</v>
      </c>
      <c r="BS25" s="213">
        <v>12059</v>
      </c>
      <c r="BT25" s="256">
        <f t="shared" si="180"/>
        <v>260471</v>
      </c>
      <c r="BV25" s="212">
        <v>21250</v>
      </c>
      <c r="BW25" s="173">
        <v>0</v>
      </c>
      <c r="BX25" s="173">
        <v>24617</v>
      </c>
      <c r="BY25" s="173">
        <v>48202</v>
      </c>
      <c r="BZ25" s="173">
        <v>28655</v>
      </c>
      <c r="CA25" s="173">
        <v>11891</v>
      </c>
      <c r="CB25" s="213">
        <v>3763</v>
      </c>
      <c r="CC25" s="256">
        <f t="shared" si="182"/>
        <v>138378</v>
      </c>
      <c r="CE25" s="212">
        <v>0</v>
      </c>
      <c r="CF25" s="173">
        <v>53501</v>
      </c>
      <c r="CG25" s="173">
        <v>52529</v>
      </c>
      <c r="CH25" s="173">
        <v>38275</v>
      </c>
      <c r="CI25" s="173">
        <v>27379</v>
      </c>
      <c r="CJ25" s="173">
        <v>18386</v>
      </c>
      <c r="CK25" s="213">
        <v>9613</v>
      </c>
      <c r="CL25" s="256">
        <f t="shared" si="184"/>
        <v>199683</v>
      </c>
      <c r="CN25" s="212">
        <v>8440</v>
      </c>
      <c r="CO25" s="173">
        <v>46309</v>
      </c>
      <c r="CP25" s="173">
        <v>36876</v>
      </c>
      <c r="CQ25" s="173">
        <v>44614</v>
      </c>
      <c r="CR25" s="173">
        <v>29995</v>
      </c>
      <c r="CS25" s="173">
        <v>19023</v>
      </c>
      <c r="CT25" s="213">
        <v>6815</v>
      </c>
      <c r="CU25" s="256">
        <f t="shared" si="187"/>
        <v>192072</v>
      </c>
      <c r="CW25" s="212">
        <v>0</v>
      </c>
      <c r="CX25" s="173">
        <v>46309</v>
      </c>
      <c r="CY25" s="173">
        <v>60575</v>
      </c>
      <c r="CZ25" s="173">
        <v>50004</v>
      </c>
      <c r="DA25" s="173">
        <v>28231</v>
      </c>
      <c r="DB25" s="173">
        <v>20781</v>
      </c>
      <c r="DC25" s="213">
        <v>11849</v>
      </c>
      <c r="DD25" s="256">
        <f t="shared" si="190"/>
        <v>217749</v>
      </c>
      <c r="DF25" s="212">
        <v>52379</v>
      </c>
      <c r="DG25" s="173">
        <v>56605</v>
      </c>
      <c r="DH25" s="173">
        <v>55194</v>
      </c>
      <c r="DI25" s="173">
        <v>40376</v>
      </c>
      <c r="DJ25" s="173"/>
      <c r="DK25" s="173"/>
      <c r="DL25" s="213"/>
      <c r="DM25" s="256">
        <f t="shared" si="191"/>
        <v>204554</v>
      </c>
      <c r="DO25" s="212"/>
      <c r="DP25" s="173"/>
      <c r="DQ25" s="173"/>
      <c r="DR25" s="173"/>
      <c r="DS25" s="173">
        <v>31085</v>
      </c>
      <c r="DT25" s="173">
        <v>37769</v>
      </c>
      <c r="DU25" s="213">
        <v>30145</v>
      </c>
      <c r="DV25" s="256">
        <f t="shared" si="193"/>
        <v>98999</v>
      </c>
      <c r="DX25" s="212">
        <v>7787</v>
      </c>
      <c r="DY25" s="173">
        <v>6440</v>
      </c>
      <c r="DZ25" s="173">
        <v>3705</v>
      </c>
      <c r="EA25" s="173">
        <v>32820</v>
      </c>
      <c r="EB25" s="173"/>
      <c r="EC25" s="173"/>
      <c r="ED25" s="213"/>
      <c r="EE25" s="256">
        <f t="shared" si="194"/>
        <v>50752</v>
      </c>
      <c r="EG25" s="212"/>
      <c r="EH25" s="173"/>
      <c r="EI25" s="173"/>
      <c r="EJ25" s="173"/>
      <c r="EK25" s="173"/>
      <c r="EL25" s="173"/>
      <c r="EM25" s="213"/>
      <c r="EN25" s="256">
        <f t="shared" si="195"/>
        <v>0</v>
      </c>
      <c r="EP25" s="212"/>
      <c r="EQ25" s="173"/>
      <c r="ER25" s="173"/>
      <c r="ES25" s="173"/>
      <c r="ET25" s="173"/>
      <c r="EU25" s="173"/>
      <c r="EV25" s="213"/>
      <c r="EW25" s="256">
        <f t="shared" si="196"/>
        <v>0</v>
      </c>
    </row>
    <row r="26" spans="1:153" ht="15" customHeight="1" x14ac:dyDescent="0.3">
      <c r="B26" s="798"/>
      <c r="C26" s="467" t="s">
        <v>135</v>
      </c>
      <c r="D26" s="468"/>
      <c r="E26" s="518" t="s">
        <v>305</v>
      </c>
      <c r="F26" s="179" t="s">
        <v>136</v>
      </c>
      <c r="G26" s="180"/>
      <c r="H26" s="166"/>
      <c r="I26" s="173">
        <v>0</v>
      </c>
      <c r="J26" s="173">
        <v>0</v>
      </c>
      <c r="K26" s="173">
        <v>7975</v>
      </c>
      <c r="L26" s="173">
        <v>9980</v>
      </c>
      <c r="M26" s="173">
        <v>7952</v>
      </c>
      <c r="N26" s="173">
        <v>2066</v>
      </c>
      <c r="O26" s="174">
        <v>401</v>
      </c>
      <c r="P26" s="172"/>
      <c r="Q26" s="175">
        <v>12042</v>
      </c>
      <c r="R26" s="173">
        <v>10443</v>
      </c>
      <c r="S26" s="173">
        <v>10708</v>
      </c>
      <c r="T26" s="173">
        <v>9827</v>
      </c>
      <c r="U26" s="173">
        <v>7986</v>
      </c>
      <c r="V26" s="173">
        <v>2577</v>
      </c>
      <c r="W26" s="173">
        <v>259</v>
      </c>
      <c r="X26" s="172"/>
      <c r="Y26" s="173">
        <v>10115</v>
      </c>
      <c r="Z26" s="173">
        <v>13312</v>
      </c>
      <c r="AA26" s="173">
        <v>12792</v>
      </c>
      <c r="AB26" s="173">
        <v>11167</v>
      </c>
      <c r="AC26" s="173">
        <v>5993</v>
      </c>
      <c r="AD26" s="173">
        <v>1511</v>
      </c>
      <c r="AE26" s="173">
        <v>90</v>
      </c>
      <c r="AG26" s="173">
        <v>9446</v>
      </c>
      <c r="AH26" s="173">
        <v>10205</v>
      </c>
      <c r="AI26" s="173">
        <v>9962</v>
      </c>
      <c r="AJ26" s="173">
        <v>7693</v>
      </c>
      <c r="AK26" s="173">
        <v>7339</v>
      </c>
      <c r="AL26" s="173">
        <v>1709</v>
      </c>
      <c r="AM26" s="173"/>
      <c r="AO26" s="173">
        <v>157</v>
      </c>
      <c r="AP26" s="173">
        <v>5522</v>
      </c>
      <c r="AQ26" s="173">
        <v>951</v>
      </c>
      <c r="AR26" s="173"/>
      <c r="AS26" s="173">
        <v>5177</v>
      </c>
      <c r="AT26" s="173">
        <v>2908</v>
      </c>
      <c r="AU26" s="173">
        <v>953</v>
      </c>
      <c r="AW26" s="173">
        <v>6427</v>
      </c>
      <c r="AX26" s="173">
        <v>5011</v>
      </c>
      <c r="AY26" s="173">
        <v>7766</v>
      </c>
      <c r="AZ26" s="173">
        <v>7525</v>
      </c>
      <c r="BA26" s="173">
        <v>6657</v>
      </c>
      <c r="BB26" s="173">
        <v>2103</v>
      </c>
      <c r="BC26" s="173">
        <v>99</v>
      </c>
      <c r="BE26" s="173">
        <v>8673</v>
      </c>
      <c r="BF26" s="173">
        <v>6105</v>
      </c>
      <c r="BG26" s="173">
        <v>5495</v>
      </c>
      <c r="BH26" s="173">
        <v>7340</v>
      </c>
      <c r="BI26" s="173">
        <v>8239</v>
      </c>
      <c r="BJ26" s="173">
        <v>2414</v>
      </c>
      <c r="BK26" s="173">
        <v>136</v>
      </c>
      <c r="BM26" s="212">
        <v>8508</v>
      </c>
      <c r="BN26" s="173">
        <v>10343</v>
      </c>
      <c r="BO26" s="173">
        <v>6611</v>
      </c>
      <c r="BP26" s="173">
        <v>6611</v>
      </c>
      <c r="BQ26" s="173">
        <v>6815</v>
      </c>
      <c r="BR26" s="173">
        <v>4721</v>
      </c>
      <c r="BS26" s="213">
        <v>945</v>
      </c>
      <c r="BT26" s="256">
        <f t="shared" si="180"/>
        <v>44554</v>
      </c>
      <c r="BV26" s="212">
        <v>2697</v>
      </c>
      <c r="BW26" s="173">
        <v>14726</v>
      </c>
      <c r="BX26" s="173">
        <v>7276</v>
      </c>
      <c r="BY26" s="173">
        <v>8260</v>
      </c>
      <c r="BZ26" s="173">
        <v>6322</v>
      </c>
      <c r="CA26" s="173">
        <v>818</v>
      </c>
      <c r="CB26" s="213">
        <v>0</v>
      </c>
      <c r="CC26" s="256">
        <f t="shared" si="182"/>
        <v>40099</v>
      </c>
      <c r="CE26" s="212">
        <v>0</v>
      </c>
      <c r="CF26" s="173">
        <v>10745</v>
      </c>
      <c r="CG26" s="173">
        <v>11566</v>
      </c>
      <c r="CH26" s="173">
        <v>7357</v>
      </c>
      <c r="CI26" s="173">
        <v>4925</v>
      </c>
      <c r="CJ26" s="173">
        <v>1553</v>
      </c>
      <c r="CK26" s="528">
        <v>14</v>
      </c>
      <c r="CL26" s="256">
        <f t="shared" si="184"/>
        <v>36160</v>
      </c>
      <c r="CN26" s="529">
        <v>203</v>
      </c>
      <c r="CO26" s="173">
        <v>8554</v>
      </c>
      <c r="CP26" s="173">
        <v>6926</v>
      </c>
      <c r="CQ26" s="173">
        <v>8417</v>
      </c>
      <c r="CR26" s="173">
        <v>7723</v>
      </c>
      <c r="CS26" s="173">
        <v>2985</v>
      </c>
      <c r="CT26" s="213">
        <v>1</v>
      </c>
      <c r="CU26" s="256">
        <f t="shared" si="187"/>
        <v>34809</v>
      </c>
      <c r="CW26" s="589">
        <v>0</v>
      </c>
      <c r="CX26" s="173">
        <v>8554</v>
      </c>
      <c r="CY26" s="173">
        <v>11565</v>
      </c>
      <c r="CZ26" s="173">
        <v>9030</v>
      </c>
      <c r="DA26" s="173">
        <v>5720</v>
      </c>
      <c r="DB26" s="173">
        <v>3397</v>
      </c>
      <c r="DC26" s="213">
        <v>477</v>
      </c>
      <c r="DD26" s="256">
        <f t="shared" si="190"/>
        <v>38743</v>
      </c>
      <c r="DF26" s="589">
        <v>10011</v>
      </c>
      <c r="DG26" s="173">
        <v>10541</v>
      </c>
      <c r="DH26" s="173">
        <v>11039</v>
      </c>
      <c r="DI26" s="173">
        <v>5274</v>
      </c>
      <c r="DJ26" s="173"/>
      <c r="DK26" s="173"/>
      <c r="DL26" s="213"/>
      <c r="DM26" s="256">
        <f t="shared" si="191"/>
        <v>36865</v>
      </c>
      <c r="DO26" s="589"/>
      <c r="DP26" s="173"/>
      <c r="DQ26" s="173"/>
      <c r="DR26" s="173"/>
      <c r="DS26" s="173">
        <v>7184</v>
      </c>
      <c r="DT26" s="173">
        <v>7380</v>
      </c>
      <c r="DU26" s="213">
        <v>7228</v>
      </c>
      <c r="DV26" s="256">
        <f t="shared" si="193"/>
        <v>21792</v>
      </c>
      <c r="DX26" s="589">
        <v>7</v>
      </c>
      <c r="DY26" s="173">
        <v>0</v>
      </c>
      <c r="DZ26" s="173">
        <v>22</v>
      </c>
      <c r="EA26" s="173">
        <v>7126</v>
      </c>
      <c r="EB26" s="173"/>
      <c r="EC26" s="173"/>
      <c r="ED26" s="213"/>
      <c r="EE26" s="256">
        <f t="shared" si="194"/>
        <v>7155</v>
      </c>
      <c r="EG26" s="589"/>
      <c r="EH26" s="173"/>
      <c r="EI26" s="173"/>
      <c r="EJ26" s="173"/>
      <c r="EK26" s="173"/>
      <c r="EL26" s="173"/>
      <c r="EM26" s="213"/>
      <c r="EN26" s="256">
        <f t="shared" si="195"/>
        <v>0</v>
      </c>
      <c r="EP26" s="589"/>
      <c r="EQ26" s="173"/>
      <c r="ER26" s="173"/>
      <c r="ES26" s="173"/>
      <c r="ET26" s="173"/>
      <c r="EU26" s="173"/>
      <c r="EV26" s="213"/>
      <c r="EW26" s="256">
        <f t="shared" si="196"/>
        <v>0</v>
      </c>
    </row>
    <row r="27" spans="1:153" ht="16.2" thickBot="1" x14ac:dyDescent="0.35">
      <c r="B27" s="798"/>
      <c r="C27" s="513" t="s">
        <v>139</v>
      </c>
      <c r="D27" s="514"/>
      <c r="E27" s="512"/>
      <c r="F27" s="771" t="s">
        <v>140</v>
      </c>
      <c r="G27" s="772"/>
      <c r="H27" s="166"/>
      <c r="I27" s="173">
        <v>2</v>
      </c>
      <c r="J27" s="173">
        <v>7</v>
      </c>
      <c r="K27" s="173">
        <v>11</v>
      </c>
      <c r="L27" s="173">
        <v>9</v>
      </c>
      <c r="M27" s="173"/>
      <c r="N27" s="173"/>
      <c r="O27" s="174"/>
      <c r="P27" s="172"/>
      <c r="Q27" s="175">
        <v>10</v>
      </c>
      <c r="R27" s="173">
        <v>11</v>
      </c>
      <c r="S27" s="173">
        <v>11</v>
      </c>
      <c r="T27" s="173">
        <v>10</v>
      </c>
      <c r="U27" s="173">
        <v>8</v>
      </c>
      <c r="V27" s="173">
        <v>3</v>
      </c>
      <c r="W27" s="173"/>
      <c r="X27" s="172"/>
      <c r="Y27" s="173">
        <v>4</v>
      </c>
      <c r="Z27" s="173">
        <v>10</v>
      </c>
      <c r="AA27" s="173">
        <v>9</v>
      </c>
      <c r="AB27" s="173">
        <v>9</v>
      </c>
      <c r="AC27" s="173">
        <v>5</v>
      </c>
      <c r="AD27" s="173">
        <v>3</v>
      </c>
      <c r="AE27" s="173"/>
      <c r="AG27" s="173">
        <v>3</v>
      </c>
      <c r="AH27" s="173">
        <v>9</v>
      </c>
      <c r="AI27" s="173">
        <v>7</v>
      </c>
      <c r="AJ27" s="173">
        <v>6</v>
      </c>
      <c r="AK27" s="173"/>
      <c r="AL27" s="173"/>
      <c r="AM27" s="173"/>
      <c r="AO27" s="173"/>
      <c r="AP27" s="173">
        <v>9</v>
      </c>
      <c r="AQ27" s="173">
        <v>9</v>
      </c>
      <c r="AR27" s="173">
        <v>8</v>
      </c>
      <c r="AS27" s="173">
        <v>5</v>
      </c>
      <c r="AT27" s="173">
        <v>2</v>
      </c>
      <c r="AU27" s="173"/>
      <c r="AW27" s="173"/>
      <c r="AX27" s="173">
        <v>10</v>
      </c>
      <c r="AY27" s="173">
        <v>9</v>
      </c>
      <c r="AZ27" s="173">
        <v>7</v>
      </c>
      <c r="BA27" s="173">
        <v>4</v>
      </c>
      <c r="BB27" s="173">
        <v>1</v>
      </c>
      <c r="BC27" s="173"/>
      <c r="BE27" s="173">
        <v>4</v>
      </c>
      <c r="BF27" s="173">
        <v>11</v>
      </c>
      <c r="BG27" s="173">
        <v>11</v>
      </c>
      <c r="BH27" s="173">
        <v>8</v>
      </c>
      <c r="BI27" s="173"/>
      <c r="BJ27" s="173"/>
      <c r="BK27" s="173"/>
      <c r="BM27" s="212">
        <v>1</v>
      </c>
      <c r="BN27" s="173">
        <v>9</v>
      </c>
      <c r="BO27" s="173">
        <v>9</v>
      </c>
      <c r="BP27" s="173">
        <v>9</v>
      </c>
      <c r="BQ27" s="173">
        <v>6</v>
      </c>
      <c r="BR27" s="173">
        <v>3</v>
      </c>
      <c r="BS27" s="213"/>
      <c r="BT27" s="257">
        <f t="shared" si="180"/>
        <v>37</v>
      </c>
      <c r="BV27" s="212">
        <v>1</v>
      </c>
      <c r="BW27" s="173">
        <v>9</v>
      </c>
      <c r="BX27" s="173">
        <v>9</v>
      </c>
      <c r="BY27" s="173">
        <v>9</v>
      </c>
      <c r="BZ27" s="173">
        <v>4</v>
      </c>
      <c r="CA27" s="173">
        <v>0</v>
      </c>
      <c r="CB27" s="213">
        <v>0</v>
      </c>
      <c r="CC27" s="257">
        <f t="shared" si="182"/>
        <v>32</v>
      </c>
      <c r="CE27" s="212">
        <v>5</v>
      </c>
      <c r="CF27" s="173">
        <v>10</v>
      </c>
      <c r="CG27" s="173"/>
      <c r="CH27" s="173">
        <v>5</v>
      </c>
      <c r="CI27" s="173"/>
      <c r="CJ27" s="173"/>
      <c r="CK27" s="213"/>
      <c r="CL27" s="257">
        <f t="shared" si="184"/>
        <v>20</v>
      </c>
      <c r="CN27" s="212">
        <v>0</v>
      </c>
      <c r="CO27" s="173">
        <v>7</v>
      </c>
      <c r="CP27" s="173">
        <v>9</v>
      </c>
      <c r="CQ27" s="173">
        <v>9</v>
      </c>
      <c r="CR27" s="173">
        <v>6</v>
      </c>
      <c r="CS27" s="173">
        <v>1</v>
      </c>
      <c r="CT27" s="213"/>
      <c r="CU27" s="257">
        <f t="shared" si="187"/>
        <v>32</v>
      </c>
      <c r="CW27" s="212">
        <v>6</v>
      </c>
      <c r="CX27" s="173">
        <v>11</v>
      </c>
      <c r="CY27" s="173">
        <v>11</v>
      </c>
      <c r="CZ27" s="173">
        <v>8</v>
      </c>
      <c r="DA27" s="173">
        <v>4</v>
      </c>
      <c r="DB27" s="173">
        <v>2</v>
      </c>
      <c r="DC27" s="213">
        <v>1</v>
      </c>
      <c r="DD27" s="257">
        <f t="shared" si="190"/>
        <v>43</v>
      </c>
      <c r="DF27" s="212">
        <v>7</v>
      </c>
      <c r="DG27" s="173">
        <v>8</v>
      </c>
      <c r="DH27" s="173"/>
      <c r="DI27" s="173">
        <v>9</v>
      </c>
      <c r="DJ27" s="173"/>
      <c r="DK27" s="173"/>
      <c r="DL27" s="213"/>
      <c r="DM27" s="257">
        <f t="shared" si="191"/>
        <v>24</v>
      </c>
      <c r="DO27" s="212"/>
      <c r="DP27" s="173"/>
      <c r="DQ27" s="173"/>
      <c r="DR27" s="173"/>
      <c r="DS27" s="173"/>
      <c r="DT27" s="173"/>
      <c r="DU27" s="213"/>
      <c r="DV27" s="257">
        <f t="shared" si="193"/>
        <v>0</v>
      </c>
      <c r="DX27" s="212"/>
      <c r="DY27" s="173"/>
      <c r="DZ27" s="173"/>
      <c r="EA27" s="173"/>
      <c r="EB27" s="173"/>
      <c r="EC27" s="173"/>
      <c r="ED27" s="213"/>
      <c r="EE27" s="257">
        <f t="shared" si="194"/>
        <v>0</v>
      </c>
      <c r="EG27" s="212"/>
      <c r="EH27" s="173"/>
      <c r="EI27" s="173"/>
      <c r="EJ27" s="173"/>
      <c r="EK27" s="173"/>
      <c r="EL27" s="173"/>
      <c r="EM27" s="213"/>
      <c r="EN27" s="257">
        <f t="shared" si="195"/>
        <v>0</v>
      </c>
      <c r="EP27" s="212"/>
      <c r="EQ27" s="173"/>
      <c r="ER27" s="173"/>
      <c r="ES27" s="173"/>
      <c r="ET27" s="173"/>
      <c r="EU27" s="173"/>
      <c r="EV27" s="213"/>
      <c r="EW27" s="257">
        <f t="shared" si="196"/>
        <v>0</v>
      </c>
    </row>
    <row r="28" spans="1:153" ht="15.6" x14ac:dyDescent="0.3">
      <c r="B28" s="798"/>
      <c r="C28" s="189" t="s">
        <v>153</v>
      </c>
      <c r="D28" s="190"/>
      <c r="E28" s="191"/>
      <c r="F28" s="181" t="s">
        <v>138</v>
      </c>
      <c r="G28" s="182"/>
      <c r="H28" s="166"/>
      <c r="I28" s="183">
        <f t="shared" ref="I28:O29" si="197">I27/I22</f>
        <v>1.6515453923122216E-4</v>
      </c>
      <c r="J28" s="183">
        <f t="shared" si="197"/>
        <v>4.4157295857667154E-4</v>
      </c>
      <c r="K28" s="183">
        <f t="shared" si="197"/>
        <v>6.8910647948028836E-4</v>
      </c>
      <c r="L28" s="183">
        <f t="shared" si="197"/>
        <v>6.240820792750662E-4</v>
      </c>
      <c r="M28" s="183">
        <f t="shared" si="197"/>
        <v>0</v>
      </c>
      <c r="N28" s="183">
        <f t="shared" si="197"/>
        <v>0</v>
      </c>
      <c r="O28" s="184">
        <f t="shared" si="197"/>
        <v>0</v>
      </c>
      <c r="P28" s="172"/>
      <c r="Q28" s="185">
        <f t="shared" ref="Q28:W29" si="198">Q27/Q22</f>
        <v>7.0439450600461094E-4</v>
      </c>
      <c r="R28" s="183">
        <f t="shared" si="198"/>
        <v>6.8511409018094487E-4</v>
      </c>
      <c r="S28" s="183">
        <f t="shared" si="198"/>
        <v>6.7574084232938927E-4</v>
      </c>
      <c r="T28" s="183">
        <f t="shared" si="198"/>
        <v>6.9502411386163044E-4</v>
      </c>
      <c r="U28" s="183">
        <f t="shared" si="198"/>
        <v>7.4034794502546341E-4</v>
      </c>
      <c r="V28" s="183">
        <f t="shared" si="198"/>
        <v>3.3960354681944298E-4</v>
      </c>
      <c r="W28" s="183">
        <f t="shared" si="198"/>
        <v>0</v>
      </c>
      <c r="X28" s="172"/>
      <c r="Y28" s="183">
        <f t="shared" ref="Y28:AE29" si="199">Y27/Y22</f>
        <v>3.1019462386187651E-4</v>
      </c>
      <c r="Z28" s="183">
        <f t="shared" si="199"/>
        <v>6.0339469857417826E-4</v>
      </c>
      <c r="AA28" s="183">
        <f t="shared" si="199"/>
        <v>5.1499493588313039E-4</v>
      </c>
      <c r="AB28" s="183">
        <f t="shared" si="199"/>
        <v>2.654020944943515E-4</v>
      </c>
      <c r="AC28" s="183">
        <f t="shared" si="199"/>
        <v>1.920443699312289E-4</v>
      </c>
      <c r="AD28" s="183">
        <f t="shared" si="199"/>
        <v>2.0511950946353044E-4</v>
      </c>
      <c r="AE28" s="183">
        <f t="shared" si="199"/>
        <v>0</v>
      </c>
      <c r="AG28" s="183">
        <f t="shared" ref="AG28:AM29" si="200">AG27/AG22</f>
        <v>4.0121863473322974E-4</v>
      </c>
      <c r="AH28" s="183">
        <f t="shared" si="200"/>
        <v>2.7491240985163889E-4</v>
      </c>
      <c r="AI28" s="183" t="e">
        <f t="shared" si="200"/>
        <v>#DIV/0!</v>
      </c>
      <c r="AJ28" s="183">
        <f t="shared" si="200"/>
        <v>2.0904830757974323E-4</v>
      </c>
      <c r="AK28" s="183" t="e">
        <f t="shared" si="200"/>
        <v>#DIV/0!</v>
      </c>
      <c r="AL28" s="183" t="e">
        <f t="shared" si="200"/>
        <v>#DIV/0!</v>
      </c>
      <c r="AM28" s="183" t="e">
        <f t="shared" si="200"/>
        <v>#DIV/0!</v>
      </c>
      <c r="AO28" s="183" t="e">
        <f t="shared" ref="AO28:AU28" si="201">AO27/AO22</f>
        <v>#DIV/0!</v>
      </c>
      <c r="AP28" s="183">
        <f t="shared" si="201"/>
        <v>2.7248525627692497E-4</v>
      </c>
      <c r="AQ28" s="183">
        <f t="shared" si="201"/>
        <v>2.6988457036925304E-4</v>
      </c>
      <c r="AR28" s="183">
        <f t="shared" si="201"/>
        <v>2.6350938505144194E-4</v>
      </c>
      <c r="AS28" s="183">
        <f t="shared" si="201"/>
        <v>1.9967134097275882E-4</v>
      </c>
      <c r="AT28" s="183">
        <f t="shared" si="201"/>
        <v>1.1357235012992675E-4</v>
      </c>
      <c r="AU28" s="183">
        <f t="shared" si="201"/>
        <v>0</v>
      </c>
      <c r="AW28" s="183">
        <f t="shared" ref="AW28:BA28" si="202">AW25/AW21</f>
        <v>212.61643835616437</v>
      </c>
      <c r="AX28" s="183">
        <f t="shared" si="202"/>
        <v>1498.8203753351208</v>
      </c>
      <c r="AY28" s="183">
        <f t="shared" si="202"/>
        <v>1710.5015673981193</v>
      </c>
      <c r="AZ28" s="183">
        <f t="shared" si="202"/>
        <v>1807.759336099585</v>
      </c>
      <c r="BA28" s="183">
        <f t="shared" si="202"/>
        <v>2657.2072072072074</v>
      </c>
      <c r="BB28" s="183">
        <f t="shared" ref="BB28" si="203">BB25/BB21</f>
        <v>4649.3548387096771</v>
      </c>
      <c r="BC28" s="183">
        <f t="shared" ref="BC28" si="204">BC27/BC22</f>
        <v>0</v>
      </c>
      <c r="BE28" s="183">
        <f t="shared" ref="BE28:BI28" si="205">BE25/BE21</f>
        <v>3605.9375</v>
      </c>
      <c r="BF28" s="183">
        <f t="shared" si="205"/>
        <v>1425.1053864168616</v>
      </c>
      <c r="BG28" s="183">
        <f t="shared" si="205"/>
        <v>1332.4008810572689</v>
      </c>
      <c r="BH28" s="183">
        <f t="shared" si="205"/>
        <v>1624.8881789137379</v>
      </c>
      <c r="BI28" s="183">
        <f t="shared" si="205"/>
        <v>2199.8795180722891</v>
      </c>
      <c r="BJ28" s="183">
        <f t="shared" ref="BJ28" si="206">BJ25/BJ21</f>
        <v>3218.75</v>
      </c>
      <c r="BK28" s="183">
        <f t="shared" ref="BK28" si="207">BK27/BK22</f>
        <v>0</v>
      </c>
      <c r="BM28" s="214">
        <f>BM25/BM21</f>
        <v>11386.486486486487</v>
      </c>
      <c r="BN28" s="183">
        <f t="shared" ref="BN28:BS28" si="208">BN25/BN21</f>
        <v>1267.7962085308056</v>
      </c>
      <c r="BO28" s="183">
        <f t="shared" si="208"/>
        <v>1294.0921409214093</v>
      </c>
      <c r="BP28" s="183">
        <f t="shared" si="208"/>
        <v>1333.0793650793651</v>
      </c>
      <c r="BQ28" s="183">
        <f t="shared" si="208"/>
        <v>1784.0758293838862</v>
      </c>
      <c r="BR28" s="183">
        <f t="shared" si="208"/>
        <v>2116.0833333333335</v>
      </c>
      <c r="BS28" s="215" t="e">
        <f t="shared" si="208"/>
        <v>#DIV/0!</v>
      </c>
      <c r="BV28" s="214">
        <f>BV25/BV21</f>
        <v>11184.21052631579</v>
      </c>
      <c r="BW28" s="183">
        <f t="shared" ref="BW28:CB28" si="209">BW25/BW21</f>
        <v>0</v>
      </c>
      <c r="BX28" s="183">
        <f t="shared" si="209"/>
        <v>642.74151436031332</v>
      </c>
      <c r="BY28" s="183">
        <f t="shared" si="209"/>
        <v>1679.5121951219512</v>
      </c>
      <c r="BZ28" s="183">
        <f t="shared" si="209"/>
        <v>1989.9305555555554</v>
      </c>
      <c r="CA28" s="183" t="e">
        <f t="shared" si="209"/>
        <v>#DIV/0!</v>
      </c>
      <c r="CB28" s="215" t="e">
        <f t="shared" si="209"/>
        <v>#DIV/0!</v>
      </c>
      <c r="CE28" s="214">
        <f>CE25/CE21</f>
        <v>0</v>
      </c>
      <c r="CF28" s="183">
        <f t="shared" ref="CF28:CK28" si="210">CF25/CF21</f>
        <v>1221.4840182648402</v>
      </c>
      <c r="CG28" s="183">
        <f t="shared" si="210"/>
        <v>1393.3421750663128</v>
      </c>
      <c r="CH28" s="183">
        <f t="shared" si="210"/>
        <v>2103.0219780219782</v>
      </c>
      <c r="CI28" s="183">
        <f t="shared" si="210"/>
        <v>3650.5333333333333</v>
      </c>
      <c r="CJ28" s="183">
        <f t="shared" si="210"/>
        <v>11491.25</v>
      </c>
      <c r="CK28" s="215" t="e">
        <f t="shared" si="210"/>
        <v>#DIV/0!</v>
      </c>
      <c r="CN28" s="214" t="e">
        <f>CN25/CN21</f>
        <v>#DIV/0!</v>
      </c>
      <c r="CO28" s="183">
        <f t="shared" ref="CO28:CT28" si="211">CO25/CO21</f>
        <v>1962.2457627118642</v>
      </c>
      <c r="CP28" s="183">
        <f t="shared" si="211"/>
        <v>1205.0980392156862</v>
      </c>
      <c r="CQ28" s="183">
        <f t="shared" si="211"/>
        <v>1835.9670781893003</v>
      </c>
      <c r="CR28" s="183">
        <f t="shared" si="211"/>
        <v>1648.0769230769231</v>
      </c>
      <c r="CS28" s="183">
        <f t="shared" si="211"/>
        <v>3068.2258064516127</v>
      </c>
      <c r="CT28" s="215" t="e">
        <f t="shared" si="211"/>
        <v>#DIV/0!</v>
      </c>
      <c r="CW28" s="214">
        <f>CW25/CW21</f>
        <v>0</v>
      </c>
      <c r="CX28" s="183">
        <f t="shared" ref="CX28:DC28" si="212">CX25/CX21</f>
        <v>1102.5952380952381</v>
      </c>
      <c r="CY28" s="183">
        <f t="shared" si="212"/>
        <v>1370.4751131221719</v>
      </c>
      <c r="CZ28" s="183">
        <f t="shared" si="212"/>
        <v>1798.705035971223</v>
      </c>
      <c r="DA28" s="183">
        <f t="shared" si="212"/>
        <v>2016.5</v>
      </c>
      <c r="DB28" s="183">
        <f t="shared" si="212"/>
        <v>1703.360655737705</v>
      </c>
      <c r="DC28" s="215">
        <f t="shared" si="212"/>
        <v>23698</v>
      </c>
      <c r="DF28" s="214">
        <f>DF25/DF21</f>
        <v>1545.1032448377578</v>
      </c>
      <c r="DG28" s="183">
        <f t="shared" ref="DG28:DL28" si="213">DG25/DG21</f>
        <v>1387.377450980392</v>
      </c>
      <c r="DH28" s="183">
        <f>DH25/DH21</f>
        <v>1858.3838383838383</v>
      </c>
      <c r="DI28" s="183">
        <f t="shared" si="213"/>
        <v>6408.8888888888887</v>
      </c>
      <c r="DJ28" s="183" t="e">
        <f t="shared" si="213"/>
        <v>#DIV/0!</v>
      </c>
      <c r="DK28" s="183" t="e">
        <f t="shared" si="213"/>
        <v>#DIV/0!</v>
      </c>
      <c r="DL28" s="215" t="e">
        <f t="shared" si="213"/>
        <v>#DIV/0!</v>
      </c>
      <c r="DO28" s="214" t="e">
        <f>DO25/DO21</f>
        <v>#DIV/0!</v>
      </c>
      <c r="DP28" s="183" t="e">
        <f t="shared" ref="DP28" si="214">DP25/DP21</f>
        <v>#DIV/0!</v>
      </c>
      <c r="DQ28" s="183" t="e">
        <f>DQ25/DQ21</f>
        <v>#DIV/0!</v>
      </c>
      <c r="DR28" s="183" t="e">
        <f t="shared" ref="DR28:DT28" si="215">DR25/DR21</f>
        <v>#DIV/0!</v>
      </c>
      <c r="DS28" s="183">
        <f t="shared" si="215"/>
        <v>1569.9494949494949</v>
      </c>
      <c r="DT28" s="183">
        <f t="shared" si="215"/>
        <v>1388.5661764705883</v>
      </c>
      <c r="DU28" s="215">
        <f>DU25/DU21</f>
        <v>1543.5227854582693</v>
      </c>
      <c r="DX28" s="214">
        <f>IF(ISNUMBER(DX21),DX25/DX21,)</f>
        <v>0</v>
      </c>
      <c r="DY28" s="214">
        <f t="shared" ref="DY28:ED28" si="216">IF(ISNUMBER(DY21),DY25/DY21,)</f>
        <v>0</v>
      </c>
      <c r="DZ28" s="214">
        <f t="shared" si="216"/>
        <v>0</v>
      </c>
      <c r="EA28" s="214">
        <f t="shared" si="216"/>
        <v>1734.1223713410122</v>
      </c>
      <c r="EB28" s="214">
        <f t="shared" si="216"/>
        <v>0</v>
      </c>
      <c r="EC28" s="214">
        <f t="shared" si="216"/>
        <v>0</v>
      </c>
      <c r="ED28" s="214">
        <f t="shared" si="216"/>
        <v>0</v>
      </c>
      <c r="EG28" s="214">
        <f>IF(ISNUMBER(EG21),EG25/EG21,)</f>
        <v>0</v>
      </c>
      <c r="EH28" s="214">
        <f t="shared" ref="EH28:EM28" si="217">IF(ISNUMBER(EH21),EH25/EH21,)</f>
        <v>0</v>
      </c>
      <c r="EI28" s="214">
        <f t="shared" si="217"/>
        <v>0</v>
      </c>
      <c r="EJ28" s="214">
        <f t="shared" si="217"/>
        <v>0</v>
      </c>
      <c r="EK28" s="214">
        <f t="shared" si="217"/>
        <v>0</v>
      </c>
      <c r="EL28" s="214">
        <f t="shared" si="217"/>
        <v>0</v>
      </c>
      <c r="EM28" s="214">
        <f t="shared" si="217"/>
        <v>0</v>
      </c>
      <c r="EN28"/>
      <c r="EP28" s="214">
        <f>IF(ISNUMBER(EP21),EP25/EP21,)</f>
        <v>0</v>
      </c>
      <c r="EQ28" s="214">
        <f t="shared" ref="EQ28:EV28" si="218">IF(ISNUMBER(EQ21),EQ25/EQ21,)</f>
        <v>0</v>
      </c>
      <c r="ER28" s="214">
        <f t="shared" si="218"/>
        <v>0</v>
      </c>
      <c r="ES28" s="214">
        <f t="shared" si="218"/>
        <v>0</v>
      </c>
      <c r="ET28" s="214">
        <f t="shared" si="218"/>
        <v>0</v>
      </c>
      <c r="EU28" s="214">
        <f t="shared" si="218"/>
        <v>0</v>
      </c>
      <c r="EV28" s="214">
        <f t="shared" si="218"/>
        <v>0</v>
      </c>
      <c r="EW28"/>
    </row>
    <row r="29" spans="1:153" ht="15.6" x14ac:dyDescent="0.3">
      <c r="B29" s="798"/>
      <c r="C29" s="189" t="s">
        <v>154</v>
      </c>
      <c r="D29" s="190"/>
      <c r="E29" s="191"/>
      <c r="F29" s="181" t="s">
        <v>138</v>
      </c>
      <c r="G29" s="182"/>
      <c r="H29" s="166"/>
      <c r="I29" s="183">
        <f t="shared" si="197"/>
        <v>2.431979903124337E-8</v>
      </c>
      <c r="J29" s="183">
        <f t="shared" si="197"/>
        <v>4.1751570372787152E-8</v>
      </c>
      <c r="K29" s="183">
        <f t="shared" si="197"/>
        <v>6.2905615031506212E-8</v>
      </c>
      <c r="L29" s="183">
        <f t="shared" si="197"/>
        <v>6.2058137971211014E-8</v>
      </c>
      <c r="M29" s="183">
        <f t="shared" si="197"/>
        <v>0</v>
      </c>
      <c r="N29" s="183">
        <f t="shared" si="197"/>
        <v>0</v>
      </c>
      <c r="O29" s="184">
        <f t="shared" si="197"/>
        <v>0</v>
      </c>
      <c r="P29" s="172"/>
      <c r="Q29" s="185">
        <f t="shared" si="198"/>
        <v>7.0969664967432783E-8</v>
      </c>
      <c r="R29" s="183">
        <f t="shared" si="198"/>
        <v>6.2877231786622404E-8</v>
      </c>
      <c r="S29" s="183">
        <f t="shared" si="198"/>
        <v>6.2544447405898772E-8</v>
      </c>
      <c r="T29" s="183">
        <f t="shared" si="198"/>
        <v>7.1007848788324314E-8</v>
      </c>
      <c r="U29" s="183">
        <f t="shared" si="198"/>
        <v>9.5854921199677269E-8</v>
      </c>
      <c r="V29" s="183">
        <f t="shared" si="198"/>
        <v>1.0013934049657595E-7</v>
      </c>
      <c r="W29" s="183">
        <f t="shared" si="198"/>
        <v>0</v>
      </c>
      <c r="X29" s="172"/>
      <c r="Y29" s="183">
        <f t="shared" si="199"/>
        <v>3.5208938805744367E-8</v>
      </c>
      <c r="Z29" s="183">
        <f t="shared" si="199"/>
        <v>5.2395386193527564E-8</v>
      </c>
      <c r="AA29" s="183">
        <f t="shared" si="199"/>
        <v>4.842503644919039E-8</v>
      </c>
      <c r="AB29" s="183">
        <f t="shared" si="199"/>
        <v>3.0603708680632127E-8</v>
      </c>
      <c r="AC29" s="183">
        <f t="shared" si="199"/>
        <v>2.8718589933652788E-8</v>
      </c>
      <c r="AD29" s="183">
        <f t="shared" si="199"/>
        <v>8.0643002678748369E-8</v>
      </c>
      <c r="AE29" s="183">
        <f t="shared" si="199"/>
        <v>0</v>
      </c>
      <c r="AG29" s="183" t="e">
        <f t="shared" si="200"/>
        <v>#DIV/0!</v>
      </c>
      <c r="AH29" s="183">
        <f t="shared" si="200"/>
        <v>2.6823025767250152E-8</v>
      </c>
      <c r="AI29" s="183" t="e">
        <f t="shared" si="200"/>
        <v>#DIV/0!</v>
      </c>
      <c r="AJ29" s="183">
        <f t="shared" si="200"/>
        <v>2.4804140928497913E-8</v>
      </c>
      <c r="AK29" s="183" t="e">
        <f t="shared" si="200"/>
        <v>#DIV/0!</v>
      </c>
      <c r="AL29" s="183" t="e">
        <f t="shared" si="200"/>
        <v>#DIV/0!</v>
      </c>
      <c r="AM29" s="183" t="e">
        <f t="shared" si="200"/>
        <v>#DIV/0!</v>
      </c>
      <c r="AO29" s="183" t="e">
        <f t="shared" ref="AO29:AT29" si="219">AO26/AO21</f>
        <v>#DIV/0!</v>
      </c>
      <c r="AP29" s="183">
        <f t="shared" si="219"/>
        <v>162.41176470588235</v>
      </c>
      <c r="AQ29" s="183">
        <f t="shared" si="219"/>
        <v>26.343490304709139</v>
      </c>
      <c r="AR29" s="183">
        <f t="shared" si="219"/>
        <v>0</v>
      </c>
      <c r="AS29" s="183">
        <f t="shared" si="219"/>
        <v>357.0344827586207</v>
      </c>
      <c r="AT29" s="183">
        <f t="shared" si="219"/>
        <v>692.38095238095241</v>
      </c>
      <c r="AU29" s="183" t="e">
        <f t="shared" ref="AU29:BB29" si="220">AU26/AU21</f>
        <v>#DIV/0!</v>
      </c>
      <c r="AW29" s="183">
        <f t="shared" si="220"/>
        <v>440.20547945205482</v>
      </c>
      <c r="AX29" s="183">
        <f t="shared" si="220"/>
        <v>134.34316353887399</v>
      </c>
      <c r="AY29" s="183">
        <f t="shared" si="220"/>
        <v>243.44827586206898</v>
      </c>
      <c r="AZ29" s="183">
        <f t="shared" si="220"/>
        <v>312.24066390041492</v>
      </c>
      <c r="BA29" s="183">
        <f t="shared" si="220"/>
        <v>599.7297297297298</v>
      </c>
      <c r="BB29" s="183">
        <f t="shared" si="220"/>
        <v>678.38709677419354</v>
      </c>
      <c r="BC29" s="183" t="e">
        <f>BC26/BC21</f>
        <v>#DIV/0!</v>
      </c>
      <c r="BE29" s="183">
        <f>BE26/BE21</f>
        <v>677.578125</v>
      </c>
      <c r="BF29" s="183">
        <f t="shared" ref="BF29:BK29" si="221">BF26/BF21</f>
        <v>142.9742388758782</v>
      </c>
      <c r="BG29" s="183">
        <f t="shared" si="221"/>
        <v>121.0352422907489</v>
      </c>
      <c r="BH29" s="183">
        <f t="shared" si="221"/>
        <v>234.50479233226835</v>
      </c>
      <c r="BI29" s="183">
        <f t="shared" si="221"/>
        <v>496.32530120481925</v>
      </c>
      <c r="BJ29" s="183">
        <f t="shared" si="221"/>
        <v>431.07142857142861</v>
      </c>
      <c r="BK29" s="183" t="e">
        <f t="shared" si="221"/>
        <v>#DIV/0!</v>
      </c>
      <c r="BM29" s="214">
        <f>BM26/BM21</f>
        <v>2299.4594594594591</v>
      </c>
      <c r="BN29" s="183">
        <f t="shared" ref="BN29:BS29" si="222">BN26/BN21</f>
        <v>245.09478672985782</v>
      </c>
      <c r="BO29" s="183">
        <f t="shared" si="222"/>
        <v>179.159891598916</v>
      </c>
      <c r="BP29" s="183">
        <f t="shared" si="222"/>
        <v>209.87301587301587</v>
      </c>
      <c r="BQ29" s="183">
        <f t="shared" si="222"/>
        <v>322.98578199052133</v>
      </c>
      <c r="BR29" s="183">
        <f t="shared" si="222"/>
        <v>393.41666666666669</v>
      </c>
      <c r="BS29" s="215" t="e">
        <f t="shared" si="222"/>
        <v>#DIV/0!</v>
      </c>
      <c r="BV29" s="214">
        <f>BV26/BV21</f>
        <v>1419.4736842105265</v>
      </c>
      <c r="BW29" s="183">
        <f t="shared" ref="BW29:CB29" si="223">BW26/BW21</f>
        <v>336.21004566210047</v>
      </c>
      <c r="BX29" s="183">
        <f t="shared" si="223"/>
        <v>189.97389033942559</v>
      </c>
      <c r="BY29" s="183">
        <f t="shared" si="223"/>
        <v>287.80487804878049</v>
      </c>
      <c r="BZ29" s="183">
        <f t="shared" si="223"/>
        <v>439.02777777777777</v>
      </c>
      <c r="CA29" s="183" t="e">
        <f t="shared" si="223"/>
        <v>#DIV/0!</v>
      </c>
      <c r="CB29" s="215" t="e">
        <f t="shared" si="223"/>
        <v>#DIV/0!</v>
      </c>
      <c r="CE29" s="214">
        <f>CE26/CE21</f>
        <v>0</v>
      </c>
      <c r="CF29" s="183">
        <f t="shared" ref="CF29:CK29" si="224">CF26/CF21</f>
        <v>245.31963470319636</v>
      </c>
      <c r="CG29" s="183">
        <f t="shared" si="224"/>
        <v>306.79045092838192</v>
      </c>
      <c r="CH29" s="183">
        <f t="shared" si="224"/>
        <v>404.23076923076923</v>
      </c>
      <c r="CI29" s="183">
        <f t="shared" si="224"/>
        <v>656.66666666666663</v>
      </c>
      <c r="CJ29" s="183">
        <f t="shared" si="224"/>
        <v>970.625</v>
      </c>
      <c r="CK29" s="215" t="e">
        <f t="shared" si="224"/>
        <v>#DIV/0!</v>
      </c>
      <c r="CN29" s="214" t="e">
        <f>CN26/CN21</f>
        <v>#DIV/0!</v>
      </c>
      <c r="CO29" s="183">
        <f t="shared" ref="CO29:CT29" si="225">CO26/CO21</f>
        <v>362.45762711864404</v>
      </c>
      <c r="CP29" s="183">
        <f t="shared" si="225"/>
        <v>226.33986928104574</v>
      </c>
      <c r="CQ29" s="183">
        <f t="shared" si="225"/>
        <v>346.37860082304525</v>
      </c>
      <c r="CR29" s="183">
        <f t="shared" si="225"/>
        <v>424.34065934065939</v>
      </c>
      <c r="CS29" s="183">
        <f t="shared" si="225"/>
        <v>481.45161290322579</v>
      </c>
      <c r="CT29" s="215" t="e">
        <f t="shared" si="225"/>
        <v>#DIV/0!</v>
      </c>
      <c r="CW29" s="214">
        <f>CW26/CW21</f>
        <v>0</v>
      </c>
      <c r="CX29" s="183">
        <f t="shared" ref="CX29:DC29" si="226">CX26/CX21</f>
        <v>203.66666666666666</v>
      </c>
      <c r="CY29" s="183">
        <f t="shared" si="226"/>
        <v>261.65158371040724</v>
      </c>
      <c r="CZ29" s="183">
        <f t="shared" si="226"/>
        <v>324.8201438848921</v>
      </c>
      <c r="DA29" s="183">
        <f t="shared" si="226"/>
        <v>408.57142857142856</v>
      </c>
      <c r="DB29" s="183">
        <f t="shared" si="226"/>
        <v>278.44262295081967</v>
      </c>
      <c r="DC29" s="215">
        <f t="shared" si="226"/>
        <v>954</v>
      </c>
      <c r="DF29" s="214">
        <f>DF26/DF21</f>
        <v>295.30973451327429</v>
      </c>
      <c r="DG29" s="183">
        <f t="shared" ref="DG29:DL29" si="227">DG26/DG21</f>
        <v>258.35784313725486</v>
      </c>
      <c r="DH29" s="183">
        <f t="shared" si="227"/>
        <v>371.68350168350167</v>
      </c>
      <c r="DI29" s="183">
        <f t="shared" si="227"/>
        <v>837.14285714285711</v>
      </c>
      <c r="DJ29" s="183" t="e">
        <f t="shared" si="227"/>
        <v>#DIV/0!</v>
      </c>
      <c r="DK29" s="183" t="e">
        <f t="shared" si="227"/>
        <v>#DIV/0!</v>
      </c>
      <c r="DL29" s="215" t="e">
        <f t="shared" si="227"/>
        <v>#DIV/0!</v>
      </c>
      <c r="DO29" s="214" t="e">
        <f>DO26/DO21</f>
        <v>#DIV/0!</v>
      </c>
      <c r="DP29" s="183" t="e">
        <f t="shared" ref="DP29:DU29" si="228">DP26/DP21</f>
        <v>#DIV/0!</v>
      </c>
      <c r="DQ29" s="183" t="e">
        <f t="shared" si="228"/>
        <v>#DIV/0!</v>
      </c>
      <c r="DR29" s="183" t="e">
        <f t="shared" si="228"/>
        <v>#DIV/0!</v>
      </c>
      <c r="DS29" s="183">
        <f t="shared" si="228"/>
        <v>362.82828282828279</v>
      </c>
      <c r="DT29" s="183">
        <f t="shared" si="228"/>
        <v>271.3235294117647</v>
      </c>
      <c r="DU29" s="215">
        <f t="shared" si="228"/>
        <v>370.09728622631849</v>
      </c>
      <c r="DX29" s="214">
        <f>IF(ISNUMBER(DX21),DX26/DX21,)</f>
        <v>0</v>
      </c>
      <c r="DY29" s="214">
        <f t="shared" ref="DY29:ED29" si="229">IF(ISNUMBER(DY21),DY26/DY21,)</f>
        <v>0</v>
      </c>
      <c r="DZ29" s="214">
        <f t="shared" si="229"/>
        <v>0</v>
      </c>
      <c r="EA29" s="214">
        <f t="shared" si="229"/>
        <v>376.51907428933737</v>
      </c>
      <c r="EB29" s="214">
        <f t="shared" si="229"/>
        <v>0</v>
      </c>
      <c r="EC29" s="214">
        <f t="shared" si="229"/>
        <v>0</v>
      </c>
      <c r="ED29" s="214">
        <f t="shared" si="229"/>
        <v>0</v>
      </c>
      <c r="EG29" s="214">
        <f>IF(ISNUMBER(EG21),EG26/EG21,)</f>
        <v>0</v>
      </c>
      <c r="EH29" s="214">
        <f t="shared" ref="EH29:EM29" si="230">IF(ISNUMBER(EH21),EH26/EH21,)</f>
        <v>0</v>
      </c>
      <c r="EI29" s="214">
        <f t="shared" si="230"/>
        <v>0</v>
      </c>
      <c r="EJ29" s="214">
        <f t="shared" si="230"/>
        <v>0</v>
      </c>
      <c r="EK29" s="214">
        <f t="shared" si="230"/>
        <v>0</v>
      </c>
      <c r="EL29" s="214">
        <f t="shared" si="230"/>
        <v>0</v>
      </c>
      <c r="EM29" s="214">
        <f t="shared" si="230"/>
        <v>0</v>
      </c>
      <c r="EN29"/>
      <c r="EP29" s="214">
        <f>IF(ISNUMBER(EP21),EP26/EP21,)</f>
        <v>0</v>
      </c>
      <c r="EQ29" s="214">
        <f t="shared" ref="EQ29:EV29" si="231">IF(ISNUMBER(EQ21),EQ26/EQ21,)</f>
        <v>0</v>
      </c>
      <c r="ER29" s="214">
        <f t="shared" si="231"/>
        <v>0</v>
      </c>
      <c r="ES29" s="214">
        <f t="shared" si="231"/>
        <v>0</v>
      </c>
      <c r="ET29" s="214">
        <f t="shared" si="231"/>
        <v>0</v>
      </c>
      <c r="EU29" s="214">
        <f t="shared" si="231"/>
        <v>0</v>
      </c>
      <c r="EV29" s="214">
        <f t="shared" si="231"/>
        <v>0</v>
      </c>
      <c r="EW29"/>
    </row>
    <row r="30" spans="1:153" ht="15.6" x14ac:dyDescent="0.3">
      <c r="B30" s="798"/>
      <c r="C30" s="766" t="s">
        <v>155</v>
      </c>
      <c r="D30" s="767"/>
      <c r="E30" s="768"/>
      <c r="F30" s="181" t="s">
        <v>60</v>
      </c>
      <c r="G30" s="182"/>
      <c r="H30" s="166"/>
      <c r="I30" s="183">
        <f t="shared" ref="I30:O30" si="232">I22/I21</f>
        <v>1288.2840425531913</v>
      </c>
      <c r="J30" s="183">
        <f t="shared" si="232"/>
        <v>496.94106583072107</v>
      </c>
      <c r="K30" s="183">
        <f t="shared" si="232"/>
        <v>386.50605326876513</v>
      </c>
      <c r="L30" s="183">
        <f t="shared" si="232"/>
        <v>413.21432664756452</v>
      </c>
      <c r="M30" s="183">
        <f t="shared" si="232"/>
        <v>422.14306569343063</v>
      </c>
      <c r="N30" s="183">
        <f t="shared" si="232"/>
        <v>4583.2666666666673</v>
      </c>
      <c r="O30" s="184" t="e">
        <f t="shared" si="232"/>
        <v>#DIV/0!</v>
      </c>
      <c r="P30" s="172"/>
      <c r="Q30" s="185">
        <f t="shared" ref="Q30:W30" si="233">Q22/Q21</f>
        <v>453.56517571884984</v>
      </c>
      <c r="R30" s="183">
        <f t="shared" si="233"/>
        <v>356.79377777777779</v>
      </c>
      <c r="S30" s="183">
        <f t="shared" si="233"/>
        <v>386.6610451306413</v>
      </c>
      <c r="T30" s="183">
        <f t="shared" si="233"/>
        <v>380.63465608465611</v>
      </c>
      <c r="U30" s="183">
        <f t="shared" si="233"/>
        <v>418.82674418604648</v>
      </c>
      <c r="V30" s="183">
        <f t="shared" si="233"/>
        <v>1448.1688524590165</v>
      </c>
      <c r="W30" s="183" t="e">
        <f t="shared" si="233"/>
        <v>#DIV/0!</v>
      </c>
      <c r="X30" s="172"/>
      <c r="Y30" s="183">
        <f t="shared" ref="Y30:AE30" si="234">Y22/Y21</f>
        <v>1172.2845454545457</v>
      </c>
      <c r="Z30" s="183">
        <f t="shared" si="234"/>
        <v>374.95248868778282</v>
      </c>
      <c r="AA30" s="183">
        <f t="shared" si="234"/>
        <v>474.88858695652181</v>
      </c>
      <c r="AB30" s="183">
        <f t="shared" si="234"/>
        <v>1309.2976833976834</v>
      </c>
      <c r="AC30" s="183">
        <f t="shared" si="234"/>
        <v>1363.1230366492146</v>
      </c>
      <c r="AD30" s="183">
        <f t="shared" si="234"/>
        <v>8603.3058823529409</v>
      </c>
      <c r="AE30" s="183" t="e">
        <f t="shared" si="234"/>
        <v>#DIV/0!</v>
      </c>
      <c r="AG30" s="183">
        <f t="shared" ref="AG30:AM30" si="235">AG22/AG21</f>
        <v>673.62342342342345</v>
      </c>
      <c r="AH30" s="183">
        <f t="shared" si="235"/>
        <v>960.04985337243409</v>
      </c>
      <c r="AI30" s="183">
        <f t="shared" si="235"/>
        <v>0</v>
      </c>
      <c r="AJ30" s="183">
        <f t="shared" si="235"/>
        <v>1237.1336206896551</v>
      </c>
      <c r="AK30" s="183">
        <f t="shared" si="235"/>
        <v>0</v>
      </c>
      <c r="AL30" s="183">
        <f t="shared" si="235"/>
        <v>0</v>
      </c>
      <c r="AM30" s="183" t="e">
        <f t="shared" si="235"/>
        <v>#DIV/0!</v>
      </c>
      <c r="AO30" s="183" t="e">
        <f t="shared" ref="AO30:AU30" si="236">AO22/AO21</f>
        <v>#DIV/0!</v>
      </c>
      <c r="AP30" s="183">
        <f t="shared" si="236"/>
        <v>971.45029411764699</v>
      </c>
      <c r="AQ30" s="183">
        <f t="shared" si="236"/>
        <v>923.75595567867038</v>
      </c>
      <c r="AR30" s="183">
        <f t="shared" si="236"/>
        <v>1001.9620462046205</v>
      </c>
      <c r="AS30" s="183">
        <f t="shared" si="236"/>
        <v>1726.9758620689656</v>
      </c>
      <c r="AT30" s="183">
        <f t="shared" si="236"/>
        <v>4192.8380952380958</v>
      </c>
      <c r="AU30" s="183" t="e">
        <f t="shared" si="236"/>
        <v>#DIV/0!</v>
      </c>
      <c r="AW30" s="183">
        <f t="shared" ref="AW30:BC30" si="237">AW22/AW21</f>
        <v>0</v>
      </c>
      <c r="AX30" s="183">
        <f t="shared" si="237"/>
        <v>293.73994638069706</v>
      </c>
      <c r="AY30" s="183">
        <f t="shared" si="237"/>
        <v>975.77178683385591</v>
      </c>
      <c r="AZ30" s="183">
        <f t="shared" si="237"/>
        <v>1207.8165975103734</v>
      </c>
      <c r="BA30" s="183">
        <f t="shared" si="237"/>
        <v>2142.5342342342342</v>
      </c>
      <c r="BB30" s="183">
        <f t="shared" si="237"/>
        <v>3384.7096774193546</v>
      </c>
      <c r="BC30" s="183" t="e">
        <f t="shared" si="237"/>
        <v>#DIV/0!</v>
      </c>
      <c r="BE30" s="183">
        <f t="shared" ref="BE30:BK30" si="238">BE22/BE21</f>
        <v>2818.3249999999998</v>
      </c>
      <c r="BF30" s="183">
        <f t="shared" si="238"/>
        <v>1016.7733021077283</v>
      </c>
      <c r="BG30" s="183">
        <f t="shared" si="238"/>
        <v>0</v>
      </c>
      <c r="BH30" s="183">
        <f t="shared" si="238"/>
        <v>1002.6549520766772</v>
      </c>
      <c r="BI30" s="183">
        <f t="shared" si="238"/>
        <v>1564.34578313253</v>
      </c>
      <c r="BJ30" s="183">
        <f t="shared" si="238"/>
        <v>2570.1517857142858</v>
      </c>
      <c r="BK30" s="183" t="e">
        <f t="shared" si="238"/>
        <v>#DIV/0!</v>
      </c>
      <c r="BM30" s="214">
        <f t="shared" ref="BM30:BS30" si="239">BM22/BM21</f>
        <v>7716.9405405405405</v>
      </c>
      <c r="BN30" s="183">
        <f t="shared" si="239"/>
        <v>838.38554502369652</v>
      </c>
      <c r="BO30" s="183">
        <f t="shared" si="239"/>
        <v>895.87506775067754</v>
      </c>
      <c r="BP30" s="183">
        <f t="shared" si="239"/>
        <v>1049.4536507936509</v>
      </c>
      <c r="BQ30" s="183">
        <f t="shared" si="239"/>
        <v>1246.8454976303317</v>
      </c>
      <c r="BR30" s="183">
        <f t="shared" si="239"/>
        <v>1775.1108333333334</v>
      </c>
      <c r="BS30" s="215" t="e">
        <f t="shared" si="239"/>
        <v>#DIV/0!</v>
      </c>
      <c r="BV30" s="214">
        <f t="shared" ref="BV30:CB30" si="240">BV22/BV21</f>
        <v>13832.810526315792</v>
      </c>
      <c r="BW30" s="183">
        <f t="shared" si="240"/>
        <v>736.14497716894982</v>
      </c>
      <c r="BX30" s="183">
        <f t="shared" si="240"/>
        <v>854.99033942558742</v>
      </c>
      <c r="BY30" s="183">
        <f t="shared" si="240"/>
        <v>1071.6540069686412</v>
      </c>
      <c r="BZ30" s="183">
        <f t="shared" si="240"/>
        <v>1670.4395833333333</v>
      </c>
      <c r="CA30" s="183" t="e">
        <f t="shared" si="240"/>
        <v>#DIV/0!</v>
      </c>
      <c r="CB30" s="215" t="e">
        <f t="shared" si="240"/>
        <v>#DIV/0!</v>
      </c>
      <c r="CE30" s="214">
        <f t="shared" ref="CE30:CK30" si="241">CE22/CE21</f>
        <v>1440.87</v>
      </c>
      <c r="CF30" s="183">
        <f t="shared" si="241"/>
        <v>798.52009132420096</v>
      </c>
      <c r="CG30" s="183">
        <f t="shared" si="241"/>
        <v>1067.2557029177717</v>
      </c>
      <c r="CH30" s="183">
        <f t="shared" si="241"/>
        <v>1843.1961538461537</v>
      </c>
      <c r="CI30" s="183">
        <f t="shared" si="241"/>
        <v>4027.4666666666667</v>
      </c>
      <c r="CJ30" s="183">
        <f t="shared" si="241"/>
        <v>13364.375</v>
      </c>
      <c r="CK30" s="215" t="e">
        <f t="shared" si="241"/>
        <v>#DIV/0!</v>
      </c>
      <c r="CN30" s="214" t="e">
        <f t="shared" ref="CN30:CT30" si="242">CN22/CN21</f>
        <v>#DIV/0!</v>
      </c>
      <c r="CO30" s="183">
        <f t="shared" si="242"/>
        <v>1352.3495762711864</v>
      </c>
      <c r="CP30" s="550">
        <f t="shared" si="242"/>
        <v>852.1006535947713</v>
      </c>
      <c r="CQ30" s="183">
        <f t="shared" si="242"/>
        <v>1255.6979423868313</v>
      </c>
      <c r="CR30" s="183">
        <f t="shared" si="242"/>
        <v>1300.181318681319</v>
      </c>
      <c r="CS30" s="549">
        <f t="shared" si="242"/>
        <v>2993.7532258064516</v>
      </c>
      <c r="CT30" s="215" t="e">
        <f t="shared" si="242"/>
        <v>#DIV/0!</v>
      </c>
      <c r="CW30" s="214">
        <f t="shared" ref="CW30:DC30" si="243">CW22/CW21</f>
        <v>946.92326203208563</v>
      </c>
      <c r="CX30" s="183">
        <f t="shared" si="243"/>
        <v>953.30023809523811</v>
      </c>
      <c r="CY30" s="183">
        <f t="shared" si="243"/>
        <v>909.75927601809951</v>
      </c>
      <c r="CZ30" s="183">
        <f t="shared" si="243"/>
        <v>1280.8359712230217</v>
      </c>
      <c r="DA30" s="183">
        <f t="shared" si="243"/>
        <v>2067.2571428571428</v>
      </c>
      <c r="DB30" s="183">
        <f t="shared" si="243"/>
        <v>1930.2950819672135</v>
      </c>
      <c r="DC30" s="215">
        <f t="shared" si="243"/>
        <v>24716.32</v>
      </c>
      <c r="DF30" s="214">
        <f t="shared" ref="DF30:DL30" si="244">DF22/DF21</f>
        <v>991.57610619469006</v>
      </c>
      <c r="DG30" s="183">
        <f t="shared" si="244"/>
        <v>894.63014705882347</v>
      </c>
      <c r="DH30" s="183">
        <f t="shared" si="244"/>
        <v>1242.882154882155</v>
      </c>
      <c r="DI30" s="183">
        <f t="shared" si="244"/>
        <v>3780.4301587301588</v>
      </c>
      <c r="DJ30" s="183" t="e">
        <f t="shared" si="244"/>
        <v>#DIV/0!</v>
      </c>
      <c r="DK30" s="183" t="e">
        <f t="shared" si="244"/>
        <v>#DIV/0!</v>
      </c>
      <c r="DL30" s="215" t="e">
        <f t="shared" si="244"/>
        <v>#DIV/0!</v>
      </c>
      <c r="DO30" s="214" t="e">
        <f t="shared" ref="DO30:DU30" si="245">DO22/DO21</f>
        <v>#DIV/0!</v>
      </c>
      <c r="DP30" s="183" t="e">
        <f t="shared" si="245"/>
        <v>#DIV/0!</v>
      </c>
      <c r="DQ30" s="183" t="e">
        <f t="shared" si="245"/>
        <v>#DIV/0!</v>
      </c>
      <c r="DR30" s="183" t="e">
        <f t="shared" si="245"/>
        <v>#DIV/0!</v>
      </c>
      <c r="DS30" s="183">
        <f t="shared" si="245"/>
        <v>0</v>
      </c>
      <c r="DT30" s="183">
        <f t="shared" si="245"/>
        <v>438.1360294117647</v>
      </c>
      <c r="DU30" s="215">
        <f t="shared" si="245"/>
        <v>117.44751664106502</v>
      </c>
      <c r="DX30" s="214">
        <f>IF(ISNUMBER(DX21),DX22/DX21,)</f>
        <v>0</v>
      </c>
      <c r="DY30" s="214">
        <f t="shared" ref="DY30:ED30" si="246">IF(ISNUMBER(DY21),DY22/DY21,)</f>
        <v>0</v>
      </c>
      <c r="DZ30" s="214">
        <f t="shared" si="246"/>
        <v>0</v>
      </c>
      <c r="EA30" s="214">
        <f t="shared" si="246"/>
        <v>1012.1679171510092</v>
      </c>
      <c r="EB30" s="214">
        <f t="shared" si="246"/>
        <v>0</v>
      </c>
      <c r="EC30" s="214">
        <f t="shared" si="246"/>
        <v>0</v>
      </c>
      <c r="ED30" s="214">
        <f t="shared" si="246"/>
        <v>0</v>
      </c>
      <c r="EG30" s="214">
        <f>IF(ISNUMBER(EG21),EG22/EG21,)</f>
        <v>0</v>
      </c>
      <c r="EH30" s="214">
        <f t="shared" ref="EH30:EM30" si="247">IF(ISNUMBER(EH21),EH22/EH21,)</f>
        <v>0</v>
      </c>
      <c r="EI30" s="214">
        <f t="shared" si="247"/>
        <v>0</v>
      </c>
      <c r="EJ30" s="214">
        <f t="shared" si="247"/>
        <v>0</v>
      </c>
      <c r="EK30" s="214">
        <f t="shared" si="247"/>
        <v>0</v>
      </c>
      <c r="EL30" s="214">
        <f t="shared" si="247"/>
        <v>0</v>
      </c>
      <c r="EM30" s="214">
        <f t="shared" si="247"/>
        <v>0</v>
      </c>
      <c r="EN30"/>
      <c r="EP30" s="214">
        <f>IF(ISNUMBER(EP21),EP22/EP21,)</f>
        <v>0</v>
      </c>
      <c r="EQ30" s="214">
        <f t="shared" ref="EQ30:EV30" si="248">IF(ISNUMBER(EQ21),EQ22/EQ21,)</f>
        <v>0</v>
      </c>
      <c r="ER30" s="214">
        <f t="shared" si="248"/>
        <v>0</v>
      </c>
      <c r="ES30" s="214">
        <f t="shared" si="248"/>
        <v>0</v>
      </c>
      <c r="ET30" s="214">
        <f t="shared" si="248"/>
        <v>0</v>
      </c>
      <c r="EU30" s="214">
        <f t="shared" si="248"/>
        <v>0</v>
      </c>
      <c r="EV30" s="214">
        <f t="shared" si="248"/>
        <v>0</v>
      </c>
      <c r="EW30"/>
    </row>
    <row r="31" spans="1:153" ht="15.6" x14ac:dyDescent="0.3">
      <c r="B31" s="798"/>
      <c r="C31" s="766" t="s">
        <v>156</v>
      </c>
      <c r="D31" s="767"/>
      <c r="E31" s="768"/>
      <c r="F31" s="181" t="s">
        <v>60</v>
      </c>
      <c r="G31" s="182"/>
      <c r="H31" s="166"/>
      <c r="I31" s="183">
        <f t="shared" ref="I31:O31" si="249">I23/I21</f>
        <v>722.44148936170211</v>
      </c>
      <c r="J31" s="183">
        <f t="shared" si="249"/>
        <v>331.54231974921635</v>
      </c>
      <c r="K31" s="183">
        <f t="shared" si="249"/>
        <v>265.24479418886199</v>
      </c>
      <c r="L31" s="183">
        <f t="shared" si="249"/>
        <v>288.14928366762177</v>
      </c>
      <c r="M31" s="183">
        <f t="shared" si="249"/>
        <v>293.39416058394164</v>
      </c>
      <c r="N31" s="183">
        <f t="shared" si="249"/>
        <v>1310.3291666666667</v>
      </c>
      <c r="O31" s="184" t="e">
        <f t="shared" si="249"/>
        <v>#DIV/0!</v>
      </c>
      <c r="P31" s="172"/>
      <c r="Q31" s="185">
        <f t="shared" ref="Q31:W31" si="250">Q23/Q21</f>
        <v>317.10191693290739</v>
      </c>
      <c r="R31" s="183">
        <f t="shared" si="250"/>
        <v>242.13466666666665</v>
      </c>
      <c r="S31" s="183">
        <f t="shared" si="250"/>
        <v>256.63111638954871</v>
      </c>
      <c r="T31" s="183">
        <f t="shared" si="250"/>
        <v>258.94153439153439</v>
      </c>
      <c r="U31" s="183">
        <f t="shared" si="250"/>
        <v>299.36550387596901</v>
      </c>
      <c r="V31" s="183">
        <f t="shared" si="250"/>
        <v>555.9524590163935</v>
      </c>
      <c r="W31" s="183" t="e">
        <f t="shared" si="250"/>
        <v>#DIV/0!</v>
      </c>
      <c r="X31" s="172"/>
      <c r="Y31" s="183">
        <f t="shared" ref="Y31:AE31" si="251">Y23/Y21</f>
        <v>800.91909090909098</v>
      </c>
      <c r="Z31" s="183">
        <f t="shared" si="251"/>
        <v>260.54705882352943</v>
      </c>
      <c r="AA31" s="183">
        <f t="shared" si="251"/>
        <v>288.99157608695651</v>
      </c>
      <c r="AB31" s="183">
        <f t="shared" si="251"/>
        <v>334.83474903474905</v>
      </c>
      <c r="AC31" s="183">
        <f t="shared" si="251"/>
        <v>350.11047120418846</v>
      </c>
      <c r="AD31" s="183">
        <f t="shared" si="251"/>
        <v>1496.2058823529412</v>
      </c>
      <c r="AE31" s="183" t="e">
        <f t="shared" si="251"/>
        <v>#DIV/0!</v>
      </c>
      <c r="AG31" s="183">
        <f t="shared" ref="AG31:AM31" si="252">AG23/AG21</f>
        <v>0</v>
      </c>
      <c r="AH31" s="183">
        <f t="shared" si="252"/>
        <v>300.56070381231672</v>
      </c>
      <c r="AI31" s="183">
        <f t="shared" si="252"/>
        <v>0</v>
      </c>
      <c r="AJ31" s="183">
        <f t="shared" si="252"/>
        <v>363.27413793103443</v>
      </c>
      <c r="AK31" s="183">
        <f t="shared" si="252"/>
        <v>0</v>
      </c>
      <c r="AL31" s="183">
        <f t="shared" si="252"/>
        <v>0</v>
      </c>
      <c r="AM31" s="183" t="e">
        <f t="shared" si="252"/>
        <v>#DIV/0!</v>
      </c>
      <c r="AO31" s="183" t="e">
        <f t="shared" ref="AO31:AU31" si="253">AO23/AO21</f>
        <v>#DIV/0!</v>
      </c>
      <c r="AP31" s="183">
        <f t="shared" si="253"/>
        <v>300.36676470588236</v>
      </c>
      <c r="AQ31" s="183">
        <f t="shared" si="253"/>
        <v>279.25983379501383</v>
      </c>
      <c r="AR31" s="183">
        <f t="shared" si="253"/>
        <v>298.47293729372933</v>
      </c>
      <c r="AS31" s="183">
        <f t="shared" si="253"/>
        <v>447.22344827586204</v>
      </c>
      <c r="AT31" s="183">
        <f t="shared" si="253"/>
        <v>915.30952380952385</v>
      </c>
      <c r="AU31" s="183" t="e">
        <f t="shared" si="253"/>
        <v>#DIV/0!</v>
      </c>
      <c r="AW31" s="183">
        <f t="shared" ref="AW31:BC31" si="254">AW23/AW21</f>
        <v>0</v>
      </c>
      <c r="AX31" s="183">
        <f t="shared" si="254"/>
        <v>293.73994638069706</v>
      </c>
      <c r="AY31" s="183">
        <f t="shared" si="254"/>
        <v>305.75548589341696</v>
      </c>
      <c r="AZ31" s="183">
        <f t="shared" si="254"/>
        <v>348.09419087136928</v>
      </c>
      <c r="BA31" s="183">
        <f t="shared" si="254"/>
        <v>538.65945945945941</v>
      </c>
      <c r="BB31" s="183">
        <f t="shared" si="254"/>
        <v>966.42903225806447</v>
      </c>
      <c r="BC31" s="183" t="e">
        <f t="shared" si="254"/>
        <v>#DIV/0!</v>
      </c>
      <c r="BE31" s="183">
        <f t="shared" ref="BE31:BK31" si="255">BE23/BE21</f>
        <v>624.84375</v>
      </c>
      <c r="BF31" s="183">
        <f t="shared" si="255"/>
        <v>272.38665105386417</v>
      </c>
      <c r="BG31" s="183">
        <f t="shared" si="255"/>
        <v>261.35572687224669</v>
      </c>
      <c r="BH31" s="183">
        <f t="shared" si="255"/>
        <v>309.6846645367412</v>
      </c>
      <c r="BI31" s="183">
        <f t="shared" si="255"/>
        <v>421.23915662650597</v>
      </c>
      <c r="BJ31" s="183">
        <f t="shared" si="255"/>
        <v>669.1267857142858</v>
      </c>
      <c r="BK31" s="183" t="e">
        <f t="shared" si="255"/>
        <v>#DIV/0!</v>
      </c>
      <c r="BM31" s="214">
        <f t="shared" ref="BM31:BS31" si="256">BM23/BM21</f>
        <v>1902.2783783783784</v>
      </c>
      <c r="BN31" s="183">
        <f t="shared" si="256"/>
        <v>260.36611374407585</v>
      </c>
      <c r="BO31" s="183">
        <f t="shared" si="256"/>
        <v>288.81192411924121</v>
      </c>
      <c r="BP31" s="183">
        <f t="shared" si="256"/>
        <v>279.54920634920632</v>
      </c>
      <c r="BQ31" s="183">
        <f t="shared" si="256"/>
        <v>337.66635071090047</v>
      </c>
      <c r="BR31" s="183">
        <f t="shared" si="256"/>
        <v>442.76416666666665</v>
      </c>
      <c r="BS31" s="215" t="e">
        <f t="shared" si="256"/>
        <v>#DIV/0!</v>
      </c>
      <c r="BV31" s="214">
        <f t="shared" ref="BV31:CB31" si="257">BV23/BV21</f>
        <v>2949.5263157894742</v>
      </c>
      <c r="BW31" s="183">
        <f t="shared" si="257"/>
        <v>248.89657534246578</v>
      </c>
      <c r="BX31" s="183">
        <f t="shared" si="257"/>
        <v>273.92506527415145</v>
      </c>
      <c r="BY31" s="183">
        <f t="shared" si="257"/>
        <v>298.63728222996514</v>
      </c>
      <c r="BZ31" s="183">
        <f t="shared" si="257"/>
        <v>448.92152777777778</v>
      </c>
      <c r="CA31" s="183" t="e">
        <f t="shared" si="257"/>
        <v>#DIV/0!</v>
      </c>
      <c r="CB31" s="215" t="e">
        <f t="shared" si="257"/>
        <v>#DIV/0!</v>
      </c>
      <c r="CE31" s="214">
        <f t="shared" ref="CE31:CK31" si="258">CE23/CE21</f>
        <v>399.60578947368424</v>
      </c>
      <c r="CF31" s="183">
        <f t="shared" si="258"/>
        <v>259.61438356164388</v>
      </c>
      <c r="CG31" s="183">
        <f t="shared" si="258"/>
        <v>277.82679045092834</v>
      </c>
      <c r="CH31" s="183">
        <f t="shared" si="258"/>
        <v>407.36263736263737</v>
      </c>
      <c r="CI31" s="183">
        <f t="shared" si="258"/>
        <v>703.73333333333335</v>
      </c>
      <c r="CJ31" s="183">
        <f t="shared" si="258"/>
        <v>2093.125</v>
      </c>
      <c r="CK31" s="215" t="e">
        <f t="shared" si="258"/>
        <v>#DIV/0!</v>
      </c>
      <c r="CN31" s="214" t="e">
        <f t="shared" ref="CN31:CT31" si="259">CN23/CN21</f>
        <v>#DIV/0!</v>
      </c>
      <c r="CO31" s="183">
        <f t="shared" si="259"/>
        <v>368.40635593220333</v>
      </c>
      <c r="CP31" s="183">
        <f t="shared" si="259"/>
        <v>237.11209150326798</v>
      </c>
      <c r="CQ31" s="183">
        <f t="shared" si="259"/>
        <v>348.52427983539093</v>
      </c>
      <c r="CR31" s="183">
        <f t="shared" si="259"/>
        <v>322.82802197802198</v>
      </c>
      <c r="CS31" s="183">
        <f t="shared" si="259"/>
        <v>702.27419354838719</v>
      </c>
      <c r="CT31" s="215" t="e">
        <f t="shared" si="259"/>
        <v>#DIV/0!</v>
      </c>
      <c r="CW31" s="214">
        <f t="shared" ref="CW31:DC31" si="260">CW23/CW21</f>
        <v>284.19786096256684</v>
      </c>
      <c r="CX31" s="183">
        <f t="shared" si="260"/>
        <v>278.5985714285714</v>
      </c>
      <c r="CY31" s="183">
        <f t="shared" si="260"/>
        <v>254.94660633484159</v>
      </c>
      <c r="CZ31" s="183">
        <f t="shared" si="260"/>
        <v>339.06223021582736</v>
      </c>
      <c r="DA31" s="183">
        <f t="shared" si="260"/>
        <v>442.07714285714286</v>
      </c>
      <c r="DB31" s="183">
        <f t="shared" si="260"/>
        <v>414.32704918032789</v>
      </c>
      <c r="DC31" s="215">
        <f t="shared" si="260"/>
        <v>5544.14</v>
      </c>
      <c r="DF31" s="214">
        <f t="shared" ref="DF31:DL31" si="261">DF23/DF21</f>
        <v>284.42625368731558</v>
      </c>
      <c r="DG31" s="183">
        <f t="shared" si="261"/>
        <v>267.57867647058816</v>
      </c>
      <c r="DH31" s="183">
        <f t="shared" si="261"/>
        <v>382.17744107744107</v>
      </c>
      <c r="DI31" s="183">
        <f t="shared" si="261"/>
        <v>732.34761904761911</v>
      </c>
      <c r="DJ31" s="183" t="e">
        <f t="shared" si="261"/>
        <v>#DIV/0!</v>
      </c>
      <c r="DK31" s="183" t="e">
        <f t="shared" si="261"/>
        <v>#DIV/0!</v>
      </c>
      <c r="DL31" s="215" t="e">
        <f t="shared" si="261"/>
        <v>#DIV/0!</v>
      </c>
      <c r="DO31" s="214" t="e">
        <f t="shared" ref="DO31:DU31" si="262">DO23/DO21</f>
        <v>#DIV/0!</v>
      </c>
      <c r="DP31" s="183" t="e">
        <f t="shared" si="262"/>
        <v>#DIV/0!</v>
      </c>
      <c r="DQ31" s="183" t="e">
        <f t="shared" si="262"/>
        <v>#DIV/0!</v>
      </c>
      <c r="DR31" s="183" t="e">
        <f t="shared" si="262"/>
        <v>#DIV/0!</v>
      </c>
      <c r="DS31" s="183">
        <f t="shared" si="262"/>
        <v>0</v>
      </c>
      <c r="DT31" s="183">
        <f t="shared" si="262"/>
        <v>156.87389705882353</v>
      </c>
      <c r="DU31" s="215">
        <f t="shared" si="262"/>
        <v>24.025089605734763</v>
      </c>
      <c r="DX31" s="214">
        <f>IF(ISNUMBER(DX21),DX23/DX21,)</f>
        <v>0</v>
      </c>
      <c r="DY31" s="214">
        <f t="shared" ref="DY31:ED31" si="263">IF(ISNUMBER(DY21),DY23/DY21,)</f>
        <v>0</v>
      </c>
      <c r="DZ31" s="214">
        <f t="shared" si="263"/>
        <v>0</v>
      </c>
      <c r="EA31" s="214">
        <f t="shared" si="263"/>
        <v>330.65201310366689</v>
      </c>
      <c r="EB31" s="214">
        <f t="shared" si="263"/>
        <v>0</v>
      </c>
      <c r="EC31" s="214">
        <f t="shared" si="263"/>
        <v>0</v>
      </c>
      <c r="ED31" s="214">
        <f t="shared" si="263"/>
        <v>0</v>
      </c>
      <c r="EG31" s="214">
        <f>IF(ISNUMBER(EG21),EG23/EG21,)</f>
        <v>0</v>
      </c>
      <c r="EH31" s="214">
        <f t="shared" ref="EH31:EM31" si="264">IF(ISNUMBER(EH21),EH23/EH21,)</f>
        <v>0</v>
      </c>
      <c r="EI31" s="214">
        <f t="shared" si="264"/>
        <v>0</v>
      </c>
      <c r="EJ31" s="214">
        <f t="shared" si="264"/>
        <v>0</v>
      </c>
      <c r="EK31" s="214">
        <f t="shared" si="264"/>
        <v>0</v>
      </c>
      <c r="EL31" s="214">
        <f t="shared" si="264"/>
        <v>0</v>
      </c>
      <c r="EM31" s="214">
        <f t="shared" si="264"/>
        <v>0</v>
      </c>
      <c r="EN31"/>
      <c r="EP31" s="214">
        <f>IF(ISNUMBER(EP21),EP23/EP21,)</f>
        <v>0</v>
      </c>
      <c r="EQ31" s="214">
        <f t="shared" ref="EQ31:EV31" si="265">IF(ISNUMBER(EQ21),EQ23/EQ21,)</f>
        <v>0</v>
      </c>
      <c r="ER31" s="214">
        <f t="shared" si="265"/>
        <v>0</v>
      </c>
      <c r="ES31" s="214">
        <f t="shared" si="265"/>
        <v>0</v>
      </c>
      <c r="ET31" s="214">
        <f t="shared" si="265"/>
        <v>0</v>
      </c>
      <c r="EU31" s="214">
        <f t="shared" si="265"/>
        <v>0</v>
      </c>
      <c r="EV31" s="214">
        <f t="shared" si="265"/>
        <v>0</v>
      </c>
      <c r="EW31"/>
    </row>
    <row r="32" spans="1:153" ht="15.6" x14ac:dyDescent="0.3">
      <c r="B32" s="798"/>
      <c r="C32" s="766" t="s">
        <v>157</v>
      </c>
      <c r="D32" s="767"/>
      <c r="E32" s="768"/>
      <c r="F32" s="181" t="s">
        <v>60</v>
      </c>
      <c r="G32" s="182"/>
      <c r="H32" s="166"/>
      <c r="I32" s="183">
        <f t="shared" ref="I32:O32" si="266">I24/I21</f>
        <v>565.8425531914894</v>
      </c>
      <c r="J32" s="183">
        <f t="shared" si="266"/>
        <v>165.39874608150473</v>
      </c>
      <c r="K32" s="183">
        <f t="shared" si="266"/>
        <v>121.26125907990314</v>
      </c>
      <c r="L32" s="183">
        <f t="shared" si="266"/>
        <v>125.06504297994272</v>
      </c>
      <c r="M32" s="183">
        <f t="shared" si="266"/>
        <v>128.74890510948904</v>
      </c>
      <c r="N32" s="183">
        <f t="shared" si="266"/>
        <v>3272.9375</v>
      </c>
      <c r="O32" s="184" t="e">
        <f t="shared" si="266"/>
        <v>#DIV/0!</v>
      </c>
      <c r="P32" s="172"/>
      <c r="Q32" s="185">
        <f t="shared" ref="Q32:W32" si="267">Q24/Q21</f>
        <v>136.46325878594249</v>
      </c>
      <c r="R32" s="183">
        <f t="shared" si="267"/>
        <v>114.6591111111111</v>
      </c>
      <c r="S32" s="183">
        <f t="shared" si="267"/>
        <v>130.02992874109265</v>
      </c>
      <c r="T32" s="183">
        <f t="shared" si="267"/>
        <v>121.6931216931217</v>
      </c>
      <c r="U32" s="183">
        <f t="shared" si="267"/>
        <v>119.46124031007751</v>
      </c>
      <c r="V32" s="183">
        <f t="shared" si="267"/>
        <v>892.21639344262303</v>
      </c>
      <c r="W32" s="183" t="e">
        <f t="shared" si="267"/>
        <v>#DIV/0!</v>
      </c>
      <c r="X32" s="172"/>
      <c r="Y32" s="183">
        <f t="shared" ref="Y32:AE32" si="268">Y24/Y21</f>
        <v>371.36545454545455</v>
      </c>
      <c r="Z32" s="183">
        <f t="shared" si="268"/>
        <v>114.40542986425339</v>
      </c>
      <c r="AA32" s="183">
        <f t="shared" si="268"/>
        <v>161.94891304347829</v>
      </c>
      <c r="AB32" s="183">
        <f t="shared" si="268"/>
        <v>864.65752895752905</v>
      </c>
      <c r="AC32" s="183">
        <f t="shared" si="268"/>
        <v>1013.0125654450261</v>
      </c>
      <c r="AD32" s="183">
        <f t="shared" si="268"/>
        <v>7107.1</v>
      </c>
      <c r="AE32" s="183" t="e">
        <f t="shared" si="268"/>
        <v>#DIV/0!</v>
      </c>
      <c r="AG32" s="183">
        <f t="shared" ref="AG32:AM32" si="269">AG24/AG21</f>
        <v>0</v>
      </c>
      <c r="AH32" s="183">
        <f t="shared" si="269"/>
        <v>659.48914956011731</v>
      </c>
      <c r="AI32" s="183">
        <f t="shared" si="269"/>
        <v>0</v>
      </c>
      <c r="AJ32" s="183">
        <f t="shared" si="269"/>
        <v>873.85948275862074</v>
      </c>
      <c r="AK32" s="183">
        <f t="shared" si="269"/>
        <v>0</v>
      </c>
      <c r="AL32" s="183">
        <f t="shared" si="269"/>
        <v>0</v>
      </c>
      <c r="AM32" s="183" t="e">
        <f t="shared" si="269"/>
        <v>#DIV/0!</v>
      </c>
      <c r="AO32" s="183" t="e">
        <f t="shared" ref="AO32:AU32" si="270">AO24/AO21</f>
        <v>#DIV/0!</v>
      </c>
      <c r="AP32" s="183">
        <f t="shared" si="270"/>
        <v>671.08352941176474</v>
      </c>
      <c r="AQ32" s="183">
        <f t="shared" si="270"/>
        <v>644.49612188365654</v>
      </c>
      <c r="AR32" s="183">
        <f t="shared" si="270"/>
        <v>703.4891089108911</v>
      </c>
      <c r="AS32" s="183">
        <f t="shared" si="270"/>
        <v>1279.7524137931034</v>
      </c>
      <c r="AT32" s="183">
        <f t="shared" si="270"/>
        <v>3277.5285714285715</v>
      </c>
      <c r="AU32" s="183" t="e">
        <f t="shared" si="270"/>
        <v>#DIV/0!</v>
      </c>
      <c r="AW32" s="183">
        <f t="shared" ref="AW32:BC32" si="271">AW24/AW21</f>
        <v>0</v>
      </c>
      <c r="AX32" s="183">
        <f t="shared" si="271"/>
        <v>626.78123324396779</v>
      </c>
      <c r="AY32" s="183">
        <f t="shared" si="271"/>
        <v>670.0163009404389</v>
      </c>
      <c r="AZ32" s="183">
        <f t="shared" si="271"/>
        <v>859.72240663900413</v>
      </c>
      <c r="BA32" s="183">
        <f t="shared" si="271"/>
        <v>1603.8747747747748</v>
      </c>
      <c r="BB32" s="183">
        <f t="shared" si="271"/>
        <v>2418.2806451612901</v>
      </c>
      <c r="BC32" s="183" t="e">
        <f t="shared" si="271"/>
        <v>#DIV/0!</v>
      </c>
      <c r="BE32" s="183">
        <f t="shared" ref="BE32:BK32" si="272">BE24/BE21</f>
        <v>2193.4812499999998</v>
      </c>
      <c r="BF32" s="183">
        <f t="shared" si="272"/>
        <v>744.38665105386417</v>
      </c>
      <c r="BG32" s="183">
        <f t="shared" si="272"/>
        <v>0</v>
      </c>
      <c r="BH32" s="183">
        <f t="shared" si="272"/>
        <v>692.97028753993618</v>
      </c>
      <c r="BI32" s="183">
        <f t="shared" si="272"/>
        <v>1143.106626506024</v>
      </c>
      <c r="BJ32" s="183">
        <f t="shared" si="272"/>
        <v>1901.0250000000001</v>
      </c>
      <c r="BK32" s="183" t="e">
        <f t="shared" si="272"/>
        <v>#DIV/0!</v>
      </c>
      <c r="BM32" s="214">
        <f t="shared" ref="BM32:BS32" si="273">BM24/BM21</f>
        <v>5814.6621621621616</v>
      </c>
      <c r="BN32" s="183">
        <f t="shared" si="273"/>
        <v>578.01943127962079</v>
      </c>
      <c r="BO32" s="183">
        <f t="shared" si="273"/>
        <v>607.06314363143633</v>
      </c>
      <c r="BP32" s="183">
        <f t="shared" si="273"/>
        <v>644.4028571428571</v>
      </c>
      <c r="BQ32" s="183">
        <f t="shared" si="273"/>
        <v>909.17914691943122</v>
      </c>
      <c r="BR32" s="183">
        <f t="shared" si="273"/>
        <v>1332.3466666666666</v>
      </c>
      <c r="BS32" s="215" t="e">
        <f t="shared" si="273"/>
        <v>#DIV/0!</v>
      </c>
      <c r="BV32" s="214">
        <f t="shared" ref="BV32:CB32" si="274">BV24/BV21</f>
        <v>10883.284210526317</v>
      </c>
      <c r="BW32" s="183">
        <f t="shared" si="274"/>
        <v>487.24840182648404</v>
      </c>
      <c r="BX32" s="183">
        <f t="shared" si="274"/>
        <v>581.06527415143603</v>
      </c>
      <c r="BY32" s="183">
        <f t="shared" si="274"/>
        <v>773.01672473867609</v>
      </c>
      <c r="BZ32" s="183">
        <f t="shared" si="274"/>
        <v>1221.5180555555555</v>
      </c>
      <c r="CA32" s="183" t="e">
        <f t="shared" si="274"/>
        <v>#DIV/0!</v>
      </c>
      <c r="CB32" s="215" t="e">
        <f t="shared" si="274"/>
        <v>#DIV/0!</v>
      </c>
      <c r="CE32" s="214">
        <f t="shared" ref="CE32:CK32" si="275">CE24/CE21</f>
        <v>1041.2642105263158</v>
      </c>
      <c r="CF32" s="183">
        <f t="shared" si="275"/>
        <v>538.90570776255709</v>
      </c>
      <c r="CG32" s="183">
        <f t="shared" si="275"/>
        <v>789.42891246684349</v>
      </c>
      <c r="CH32" s="183">
        <f t="shared" si="275"/>
        <v>1435.8335164835164</v>
      </c>
      <c r="CI32" s="183">
        <f t="shared" si="275"/>
        <v>3323.7333333333331</v>
      </c>
      <c r="CJ32" s="183">
        <f t="shared" si="275"/>
        <v>11271.25</v>
      </c>
      <c r="CK32" s="215" t="e">
        <f t="shared" si="275"/>
        <v>#DIV/0!</v>
      </c>
      <c r="CN32" s="214" t="e">
        <f t="shared" ref="CN32:CT32" si="276">CN24/CN21</f>
        <v>#DIV/0!</v>
      </c>
      <c r="CO32" s="183">
        <f t="shared" si="276"/>
        <v>983.943220338983</v>
      </c>
      <c r="CP32" s="183">
        <f t="shared" si="276"/>
        <v>614.98856209150324</v>
      </c>
      <c r="CQ32" s="183">
        <f t="shared" si="276"/>
        <v>907.17366255144032</v>
      </c>
      <c r="CR32" s="183">
        <f t="shared" si="276"/>
        <v>977.35329670329679</v>
      </c>
      <c r="CS32" s="183">
        <f t="shared" si="276"/>
        <v>2291.4790322580643</v>
      </c>
      <c r="CT32" s="215" t="e">
        <f t="shared" si="276"/>
        <v>#DIV/0!</v>
      </c>
      <c r="CW32" s="214">
        <f t="shared" ref="CW32:DC32" si="277">CW24/CW21</f>
        <v>662.72540106951874</v>
      </c>
      <c r="CX32" s="183">
        <f t="shared" si="277"/>
        <v>674.70166666666671</v>
      </c>
      <c r="CY32" s="183">
        <f t="shared" si="277"/>
        <v>654.81266968325792</v>
      </c>
      <c r="CZ32" s="183">
        <f t="shared" si="277"/>
        <v>941.7737410071943</v>
      </c>
      <c r="DA32" s="183">
        <f t="shared" si="277"/>
        <v>1625.18</v>
      </c>
      <c r="DB32" s="183">
        <f t="shared" si="277"/>
        <v>1515.9680327868855</v>
      </c>
      <c r="DC32" s="215">
        <f t="shared" si="277"/>
        <v>19172.18</v>
      </c>
      <c r="DF32" s="214">
        <f t="shared" ref="DF32:DL32" si="278">DF24/DF21</f>
        <v>707.14985250737459</v>
      </c>
      <c r="DG32" s="183">
        <f t="shared" si="278"/>
        <v>627.05147058823525</v>
      </c>
      <c r="DH32" s="183">
        <f t="shared" si="278"/>
        <v>860.70471380471383</v>
      </c>
      <c r="DI32" s="183">
        <f t="shared" si="278"/>
        <v>3048.0825396825394</v>
      </c>
      <c r="DJ32" s="183" t="e">
        <f t="shared" si="278"/>
        <v>#DIV/0!</v>
      </c>
      <c r="DK32" s="183" t="e">
        <f t="shared" si="278"/>
        <v>#DIV/0!</v>
      </c>
      <c r="DL32" s="215" t="e">
        <f t="shared" si="278"/>
        <v>#DIV/0!</v>
      </c>
      <c r="DO32" s="214" t="e">
        <f t="shared" ref="DO32:DU32" si="279">DO24/DO21</f>
        <v>#DIV/0!</v>
      </c>
      <c r="DP32" s="183" t="e">
        <f t="shared" si="279"/>
        <v>#DIV/0!</v>
      </c>
      <c r="DQ32" s="183" t="e">
        <f t="shared" si="279"/>
        <v>#DIV/0!</v>
      </c>
      <c r="DR32" s="183" t="e">
        <f t="shared" si="279"/>
        <v>#DIV/0!</v>
      </c>
      <c r="DS32" s="183">
        <f t="shared" si="279"/>
        <v>0</v>
      </c>
      <c r="DT32" s="183">
        <f t="shared" si="279"/>
        <v>281.26213235294119</v>
      </c>
      <c r="DU32" s="215">
        <f t="shared" si="279"/>
        <v>93.422427035330259</v>
      </c>
      <c r="DX32" s="214">
        <f>IF(ISNUMBER(DX21),DX24/DX21,)</f>
        <v>0</v>
      </c>
      <c r="DY32" s="214">
        <f t="shared" ref="DY32:ED32" si="280">IF(ISNUMBER(DY21),DY24/DY21,)</f>
        <v>0</v>
      </c>
      <c r="DZ32" s="214">
        <f t="shared" si="280"/>
        <v>0</v>
      </c>
      <c r="EA32" s="214">
        <f t="shared" si="280"/>
        <v>681.51590404734225</v>
      </c>
      <c r="EB32" s="214">
        <f t="shared" si="280"/>
        <v>0</v>
      </c>
      <c r="EC32" s="214">
        <f t="shared" si="280"/>
        <v>0</v>
      </c>
      <c r="ED32" s="214">
        <f t="shared" si="280"/>
        <v>0</v>
      </c>
      <c r="EG32" s="214">
        <f>IF(ISNUMBER(EG21),EG24/EG21,)</f>
        <v>0</v>
      </c>
      <c r="EH32" s="214">
        <f t="shared" ref="EH32:EM32" si="281">IF(ISNUMBER(EH21),EH24/EH21,)</f>
        <v>0</v>
      </c>
      <c r="EI32" s="214">
        <f t="shared" si="281"/>
        <v>0</v>
      </c>
      <c r="EJ32" s="214">
        <f t="shared" si="281"/>
        <v>0</v>
      </c>
      <c r="EK32" s="214">
        <f t="shared" si="281"/>
        <v>0</v>
      </c>
      <c r="EL32" s="214">
        <f t="shared" si="281"/>
        <v>0</v>
      </c>
      <c r="EM32" s="214">
        <f t="shared" si="281"/>
        <v>0</v>
      </c>
      <c r="EN32"/>
      <c r="EP32" s="214">
        <f>IF(ISNUMBER(EP21),EP24/EP21,)</f>
        <v>0</v>
      </c>
      <c r="EQ32" s="214">
        <f t="shared" ref="EQ32:EV32" si="282">IF(ISNUMBER(EQ21),EQ24/EQ21,)</f>
        <v>0</v>
      </c>
      <c r="ER32" s="214">
        <f t="shared" si="282"/>
        <v>0</v>
      </c>
      <c r="ES32" s="214">
        <f t="shared" si="282"/>
        <v>0</v>
      </c>
      <c r="ET32" s="214">
        <f t="shared" si="282"/>
        <v>0</v>
      </c>
      <c r="EU32" s="214">
        <f t="shared" si="282"/>
        <v>0</v>
      </c>
      <c r="EV32" s="214">
        <f t="shared" si="282"/>
        <v>0</v>
      </c>
      <c r="EW32"/>
    </row>
    <row r="33" spans="2:153" ht="15.6" x14ac:dyDescent="0.3">
      <c r="B33" s="798"/>
      <c r="C33" s="769" t="s">
        <v>158</v>
      </c>
      <c r="D33" s="770"/>
      <c r="E33" s="770"/>
      <c r="F33" s="784" t="s">
        <v>145</v>
      </c>
      <c r="G33" s="785"/>
      <c r="H33" s="166"/>
      <c r="I33" s="183">
        <f t="shared" ref="I33:O35" si="283">I22/1000</f>
        <v>12.109869999999999</v>
      </c>
      <c r="J33" s="183">
        <f t="shared" si="283"/>
        <v>15.852420000000002</v>
      </c>
      <c r="K33" s="183">
        <f t="shared" si="283"/>
        <v>15.9627</v>
      </c>
      <c r="L33" s="183">
        <f t="shared" si="283"/>
        <v>14.42118</v>
      </c>
      <c r="M33" s="183">
        <f t="shared" si="283"/>
        <v>11.56672</v>
      </c>
      <c r="N33" s="183">
        <f t="shared" si="283"/>
        <v>10.999840000000001</v>
      </c>
      <c r="O33" s="184">
        <f t="shared" si="283"/>
        <v>5.1873899999999997</v>
      </c>
      <c r="P33" s="172"/>
      <c r="Q33" s="185">
        <f t="shared" ref="Q33:W35" si="284">Q22/1000</f>
        <v>14.19659</v>
      </c>
      <c r="R33" s="183">
        <f t="shared" si="284"/>
        <v>16.055720000000001</v>
      </c>
      <c r="S33" s="183">
        <f t="shared" si="284"/>
        <v>16.27843</v>
      </c>
      <c r="T33" s="183">
        <f t="shared" si="284"/>
        <v>14.38799</v>
      </c>
      <c r="U33" s="183">
        <f t="shared" si="284"/>
        <v>10.805729999999999</v>
      </c>
      <c r="V33" s="183">
        <f t="shared" si="284"/>
        <v>8.8338300000000007</v>
      </c>
      <c r="W33" s="183">
        <f t="shared" si="284"/>
        <v>5.4861400000000007</v>
      </c>
      <c r="X33" s="172"/>
      <c r="Y33" s="183">
        <f t="shared" ref="Y33:AE35" si="285">Y22/1000</f>
        <v>12.895130000000002</v>
      </c>
      <c r="Z33" s="183">
        <f t="shared" si="285"/>
        <v>16.572900000000001</v>
      </c>
      <c r="AA33" s="183">
        <f t="shared" si="285"/>
        <v>17.475900000000003</v>
      </c>
      <c r="AB33" s="183">
        <f t="shared" si="285"/>
        <v>33.910809999999998</v>
      </c>
      <c r="AC33" s="183">
        <f t="shared" si="285"/>
        <v>26.03565</v>
      </c>
      <c r="AD33" s="183">
        <f t="shared" si="285"/>
        <v>14.62562</v>
      </c>
      <c r="AE33" s="183">
        <f t="shared" si="285"/>
        <v>7.3347699999999998</v>
      </c>
      <c r="AG33" s="183">
        <f t="shared" ref="AG33:AM35" si="286">AG22/1000</f>
        <v>7.47722</v>
      </c>
      <c r="AH33" s="183">
        <f t="shared" si="286"/>
        <v>32.737700000000004</v>
      </c>
      <c r="AI33" s="183">
        <f t="shared" si="286"/>
        <v>0</v>
      </c>
      <c r="AJ33" s="183">
        <f t="shared" si="286"/>
        <v>28.701499999999999</v>
      </c>
      <c r="AK33" s="183">
        <f t="shared" si="286"/>
        <v>0</v>
      </c>
      <c r="AL33" s="183">
        <f t="shared" si="286"/>
        <v>0</v>
      </c>
      <c r="AM33" s="183">
        <f t="shared" si="286"/>
        <v>0</v>
      </c>
      <c r="AO33" s="183">
        <f t="shared" ref="AO33:AU35" si="287">AO22/1000</f>
        <v>0</v>
      </c>
      <c r="AP33" s="183">
        <f t="shared" si="287"/>
        <v>33.029309999999995</v>
      </c>
      <c r="AQ33" s="183">
        <f t="shared" si="287"/>
        <v>33.347590000000004</v>
      </c>
      <c r="AR33" s="183">
        <f t="shared" si="287"/>
        <v>30.359450000000002</v>
      </c>
      <c r="AS33" s="183">
        <f t="shared" si="287"/>
        <v>25.041150000000002</v>
      </c>
      <c r="AT33" s="183">
        <f t="shared" si="287"/>
        <v>17.609920000000002</v>
      </c>
      <c r="AU33" s="183">
        <f t="shared" si="287"/>
        <v>8.5053900000000002</v>
      </c>
      <c r="AW33" s="183">
        <f t="shared" ref="AW33:BC35" si="288">AW22/1000</f>
        <v>0</v>
      </c>
      <c r="AX33" s="183">
        <f t="shared" si="288"/>
        <v>10.9565</v>
      </c>
      <c r="AY33" s="183">
        <f t="shared" si="288"/>
        <v>31.127120000000001</v>
      </c>
      <c r="AZ33" s="183">
        <f t="shared" si="288"/>
        <v>29.10838</v>
      </c>
      <c r="BA33" s="183">
        <f t="shared" si="288"/>
        <v>23.782129999999999</v>
      </c>
      <c r="BB33" s="183">
        <f t="shared" si="288"/>
        <v>10.492599999999999</v>
      </c>
      <c r="BC33" s="183">
        <f t="shared" si="288"/>
        <v>5.9375100000000005</v>
      </c>
      <c r="BE33" s="183">
        <f t="shared" ref="BE33:BK35" si="289">BE22/1000</f>
        <v>36.074559999999998</v>
      </c>
      <c r="BF33" s="183">
        <f t="shared" si="289"/>
        <v>43.416220000000003</v>
      </c>
      <c r="BG33" s="183">
        <f t="shared" si="289"/>
        <v>0</v>
      </c>
      <c r="BH33" s="183">
        <f t="shared" si="289"/>
        <v>31.383099999999999</v>
      </c>
      <c r="BI33" s="183">
        <f t="shared" si="289"/>
        <v>25.968139999999998</v>
      </c>
      <c r="BJ33" s="183">
        <f t="shared" si="289"/>
        <v>14.392850000000001</v>
      </c>
      <c r="BK33" s="183">
        <f t="shared" si="289"/>
        <v>6.3000100000000003</v>
      </c>
      <c r="BM33" s="214">
        <f t="shared" ref="BM33:BS35" si="290">BM22/1000</f>
        <v>28.552679999999999</v>
      </c>
      <c r="BN33" s="183">
        <f t="shared" si="290"/>
        <v>35.379869999999997</v>
      </c>
      <c r="BO33" s="183">
        <f t="shared" si="290"/>
        <v>33.057790000000004</v>
      </c>
      <c r="BP33" s="183">
        <f t="shared" si="290"/>
        <v>33.057790000000004</v>
      </c>
      <c r="BQ33" s="183">
        <f t="shared" si="290"/>
        <v>26.308440000000001</v>
      </c>
      <c r="BR33" s="183">
        <f t="shared" si="290"/>
        <v>21.30133</v>
      </c>
      <c r="BS33" s="215">
        <f t="shared" si="290"/>
        <v>7.2272600000000002</v>
      </c>
      <c r="BV33" s="214">
        <f t="shared" ref="BV33:CB33" si="291">BV22/1000</f>
        <v>26.282340000000005</v>
      </c>
      <c r="BW33" s="183">
        <f t="shared" si="291"/>
        <v>32.24315</v>
      </c>
      <c r="BX33" s="183">
        <f t="shared" si="291"/>
        <v>32.746130000000001</v>
      </c>
      <c r="BY33" s="183">
        <f t="shared" si="291"/>
        <v>30.75647</v>
      </c>
      <c r="BZ33" s="183">
        <f t="shared" si="291"/>
        <v>24.05433</v>
      </c>
      <c r="CA33" s="183">
        <f t="shared" si="291"/>
        <v>12.315610000000001</v>
      </c>
      <c r="CB33" s="215">
        <f t="shared" si="291"/>
        <v>11.19816</v>
      </c>
      <c r="CE33" s="214">
        <f t="shared" ref="CE33:CK33" si="292">CE22/1000</f>
        <v>27.376529999999999</v>
      </c>
      <c r="CF33" s="183">
        <f t="shared" si="292"/>
        <v>34.975180000000002</v>
      </c>
      <c r="CG33" s="183">
        <f t="shared" si="292"/>
        <v>40.23554</v>
      </c>
      <c r="CH33" s="183">
        <f t="shared" si="292"/>
        <v>33.546169999999996</v>
      </c>
      <c r="CI33" s="183">
        <f t="shared" si="292"/>
        <v>30.206</v>
      </c>
      <c r="CJ33" s="183">
        <f t="shared" si="292"/>
        <v>21.382999999999999</v>
      </c>
      <c r="CK33" s="215">
        <f t="shared" si="292"/>
        <v>6.157</v>
      </c>
      <c r="CN33" s="214">
        <f t="shared" ref="CN33:CT33" si="293">CN22/1000</f>
        <v>6.1230000000000002</v>
      </c>
      <c r="CO33" s="183">
        <f t="shared" si="293"/>
        <v>31.91545</v>
      </c>
      <c r="CP33" s="183">
        <f t="shared" si="293"/>
        <v>26.074280000000002</v>
      </c>
      <c r="CQ33" s="183">
        <f t="shared" si="293"/>
        <v>30.513459999999998</v>
      </c>
      <c r="CR33" s="183">
        <f t="shared" si="293"/>
        <v>23.663300000000003</v>
      </c>
      <c r="CS33" s="183">
        <f t="shared" si="293"/>
        <v>18.56127</v>
      </c>
      <c r="CT33" s="215">
        <f t="shared" si="293"/>
        <v>10.065010000000001</v>
      </c>
      <c r="CW33" s="214">
        <f t="shared" ref="CW33:DC33" si="294">CW22/1000</f>
        <v>35.414929999999998</v>
      </c>
      <c r="CX33" s="183">
        <f t="shared" si="294"/>
        <v>40.038609999999998</v>
      </c>
      <c r="CY33" s="183">
        <f t="shared" si="294"/>
        <v>40.211359999999999</v>
      </c>
      <c r="CZ33" s="183">
        <f t="shared" si="294"/>
        <v>35.607240000000004</v>
      </c>
      <c r="DA33" s="183">
        <f t="shared" si="294"/>
        <v>28.941599999999998</v>
      </c>
      <c r="DB33" s="183">
        <f t="shared" si="294"/>
        <v>23.549600000000002</v>
      </c>
      <c r="DC33" s="215">
        <f t="shared" si="294"/>
        <v>12.35816</v>
      </c>
      <c r="DF33" s="214">
        <f t="shared" ref="DF33:DL33" si="295">DF22/1000</f>
        <v>33.614429999999999</v>
      </c>
      <c r="DG33" s="183">
        <f t="shared" si="295"/>
        <v>36.500910000000005</v>
      </c>
      <c r="DH33" s="183">
        <f t="shared" si="295"/>
        <v>36.913599999999995</v>
      </c>
      <c r="DI33" s="183">
        <f t="shared" si="295"/>
        <v>23.81671</v>
      </c>
      <c r="DJ33" s="183">
        <f t="shared" si="295"/>
        <v>0</v>
      </c>
      <c r="DK33" s="183">
        <f t="shared" si="295"/>
        <v>0</v>
      </c>
      <c r="DL33" s="215">
        <f t="shared" si="295"/>
        <v>0</v>
      </c>
      <c r="DO33" s="214">
        <f t="shared" ref="DO33:DU33" si="296">DO22/1000</f>
        <v>0</v>
      </c>
      <c r="DP33" s="183">
        <f t="shared" si="296"/>
        <v>0</v>
      </c>
      <c r="DQ33" s="183">
        <f t="shared" si="296"/>
        <v>0</v>
      </c>
      <c r="DR33" s="183">
        <f t="shared" si="296"/>
        <v>0</v>
      </c>
      <c r="DS33" s="183">
        <f t="shared" si="296"/>
        <v>0</v>
      </c>
      <c r="DT33" s="183">
        <f t="shared" si="296"/>
        <v>11.917299999999999</v>
      </c>
      <c r="DU33" s="215">
        <f t="shared" si="296"/>
        <v>2.2937500000000002</v>
      </c>
      <c r="DX33" s="214">
        <f t="shared" ref="DX33:ED33" si="297">DX22/1000</f>
        <v>4.2796599999999998</v>
      </c>
      <c r="DY33" s="183">
        <f t="shared" si="297"/>
        <v>6.2904799999999996</v>
      </c>
      <c r="DZ33" s="183">
        <f t="shared" si="297"/>
        <v>5.4001099999999997</v>
      </c>
      <c r="EA33" s="183">
        <f t="shared" si="297"/>
        <v>19.156290000000002</v>
      </c>
      <c r="EB33" s="183">
        <f t="shared" si="297"/>
        <v>0</v>
      </c>
      <c r="EC33" s="183">
        <f t="shared" si="297"/>
        <v>0</v>
      </c>
      <c r="ED33" s="215">
        <f t="shared" si="297"/>
        <v>0</v>
      </c>
      <c r="EG33" s="214">
        <f t="shared" ref="EG33:EM33" si="298">EG22/1000</f>
        <v>0</v>
      </c>
      <c r="EH33" s="183">
        <f t="shared" si="298"/>
        <v>0</v>
      </c>
      <c r="EI33" s="183">
        <f t="shared" si="298"/>
        <v>0</v>
      </c>
      <c r="EJ33" s="183">
        <f t="shared" si="298"/>
        <v>0</v>
      </c>
      <c r="EK33" s="183">
        <f t="shared" si="298"/>
        <v>0</v>
      </c>
      <c r="EL33" s="183">
        <f t="shared" si="298"/>
        <v>0</v>
      </c>
      <c r="EM33" s="215">
        <f t="shared" si="298"/>
        <v>0</v>
      </c>
      <c r="EN33"/>
      <c r="EP33" s="214">
        <f t="shared" ref="EP33:EV33" si="299">EP22/1000</f>
        <v>0</v>
      </c>
      <c r="EQ33" s="183">
        <f t="shared" si="299"/>
        <v>0</v>
      </c>
      <c r="ER33" s="183">
        <f t="shared" si="299"/>
        <v>0</v>
      </c>
      <c r="ES33" s="183">
        <f t="shared" si="299"/>
        <v>0</v>
      </c>
      <c r="ET33" s="183">
        <f t="shared" si="299"/>
        <v>0</v>
      </c>
      <c r="EU33" s="183">
        <f t="shared" si="299"/>
        <v>0</v>
      </c>
      <c r="EV33" s="215">
        <f t="shared" si="299"/>
        <v>0</v>
      </c>
      <c r="EW33"/>
    </row>
    <row r="34" spans="2:153" ht="15.6" x14ac:dyDescent="0.3">
      <c r="B34" s="798"/>
      <c r="C34" s="769" t="s">
        <v>159</v>
      </c>
      <c r="D34" s="770"/>
      <c r="E34" s="770"/>
      <c r="F34" s="784" t="s">
        <v>145</v>
      </c>
      <c r="G34" s="785"/>
      <c r="H34" s="166"/>
      <c r="I34" s="183">
        <f t="shared" si="283"/>
        <v>6.7909499999999996</v>
      </c>
      <c r="J34" s="183">
        <f t="shared" si="283"/>
        <v>10.5762</v>
      </c>
      <c r="K34" s="183">
        <f t="shared" si="283"/>
        <v>10.954610000000001</v>
      </c>
      <c r="L34" s="183">
        <f t="shared" si="283"/>
        <v>10.05641</v>
      </c>
      <c r="M34" s="183">
        <f t="shared" si="283"/>
        <v>8.0389999999999997</v>
      </c>
      <c r="N34" s="183">
        <f t="shared" si="283"/>
        <v>3.14479</v>
      </c>
      <c r="O34" s="184">
        <f t="shared" si="283"/>
        <v>2.3217099999999999</v>
      </c>
      <c r="P34" s="172"/>
      <c r="Q34" s="185">
        <f t="shared" si="284"/>
        <v>9.9252900000000004</v>
      </c>
      <c r="R34" s="183">
        <f t="shared" si="284"/>
        <v>10.89606</v>
      </c>
      <c r="S34" s="183">
        <f t="shared" si="284"/>
        <v>10.804170000000001</v>
      </c>
      <c r="T34" s="183">
        <f t="shared" si="284"/>
        <v>9.7879900000000006</v>
      </c>
      <c r="U34" s="183">
        <f t="shared" si="284"/>
        <v>7.72363</v>
      </c>
      <c r="V34" s="183">
        <f t="shared" si="284"/>
        <v>3.3913099999999998</v>
      </c>
      <c r="W34" s="183">
        <f t="shared" si="284"/>
        <v>1.9912399999999999</v>
      </c>
      <c r="X34" s="172"/>
      <c r="Y34" s="183">
        <f t="shared" si="285"/>
        <v>8.8101099999999999</v>
      </c>
      <c r="Z34" s="183">
        <f t="shared" si="285"/>
        <v>11.51618</v>
      </c>
      <c r="AA34" s="183">
        <f t="shared" si="285"/>
        <v>10.634889999999999</v>
      </c>
      <c r="AB34" s="183">
        <f t="shared" si="285"/>
        <v>8.6722199999999994</v>
      </c>
      <c r="AC34" s="183">
        <f t="shared" si="285"/>
        <v>6.6871099999999997</v>
      </c>
      <c r="AD34" s="183">
        <f t="shared" si="285"/>
        <v>2.5435500000000002</v>
      </c>
      <c r="AE34" s="183">
        <f t="shared" si="285"/>
        <v>2.5474099999999997</v>
      </c>
      <c r="AG34" s="183">
        <f t="shared" si="286"/>
        <v>0</v>
      </c>
      <c r="AH34" s="183">
        <f t="shared" si="286"/>
        <v>10.249120000000001</v>
      </c>
      <c r="AI34" s="183">
        <f t="shared" si="286"/>
        <v>0</v>
      </c>
      <c r="AJ34" s="183">
        <f t="shared" si="286"/>
        <v>8.4279599999999988</v>
      </c>
      <c r="AK34" s="183">
        <f t="shared" si="286"/>
        <v>0</v>
      </c>
      <c r="AL34" s="183">
        <f t="shared" si="286"/>
        <v>0</v>
      </c>
      <c r="AM34" s="183">
        <f t="shared" si="286"/>
        <v>0</v>
      </c>
      <c r="AO34" s="183">
        <f t="shared" si="287"/>
        <v>0</v>
      </c>
      <c r="AP34" s="183">
        <f t="shared" si="287"/>
        <v>10.21247</v>
      </c>
      <c r="AQ34" s="183">
        <f t="shared" si="287"/>
        <v>10.081280000000001</v>
      </c>
      <c r="AR34" s="183">
        <f t="shared" si="287"/>
        <v>9.04373</v>
      </c>
      <c r="AS34" s="183">
        <f t="shared" si="287"/>
        <v>6.4847399999999995</v>
      </c>
      <c r="AT34" s="183">
        <f t="shared" si="287"/>
        <v>3.8443000000000001</v>
      </c>
      <c r="AU34" s="183">
        <f t="shared" si="287"/>
        <v>2.7380599999999999</v>
      </c>
      <c r="AW34" s="183">
        <f t="shared" si="288"/>
        <v>0</v>
      </c>
      <c r="AX34" s="183">
        <f t="shared" si="288"/>
        <v>10.9565</v>
      </c>
      <c r="AY34" s="183">
        <f t="shared" si="288"/>
        <v>9.7536000000000005</v>
      </c>
      <c r="AZ34" s="183">
        <f t="shared" si="288"/>
        <v>8.3890700000000002</v>
      </c>
      <c r="BA34" s="183">
        <f t="shared" si="288"/>
        <v>5.97912</v>
      </c>
      <c r="BB34" s="183">
        <f t="shared" si="288"/>
        <v>2.99593</v>
      </c>
      <c r="BC34" s="183">
        <f t="shared" si="288"/>
        <v>2.0824600000000002</v>
      </c>
      <c r="BE34" s="183">
        <f t="shared" si="289"/>
        <v>7.9980000000000002</v>
      </c>
      <c r="BF34" s="183">
        <f t="shared" si="289"/>
        <v>11.63091</v>
      </c>
      <c r="BG34" s="183">
        <f t="shared" si="289"/>
        <v>11.865549999999999</v>
      </c>
      <c r="BH34" s="183">
        <f t="shared" si="289"/>
        <v>9.69313</v>
      </c>
      <c r="BI34" s="183">
        <f t="shared" si="289"/>
        <v>6.9925699999999997</v>
      </c>
      <c r="BJ34" s="183">
        <f t="shared" si="289"/>
        <v>3.7471100000000002</v>
      </c>
      <c r="BK34" s="183">
        <f t="shared" si="289"/>
        <v>2.5401100000000003</v>
      </c>
      <c r="BM34" s="214">
        <f t="shared" si="290"/>
        <v>7.03843</v>
      </c>
      <c r="BN34" s="183">
        <f t="shared" si="290"/>
        <v>10.987450000000001</v>
      </c>
      <c r="BO34" s="183">
        <f t="shared" si="290"/>
        <v>10.657159999999999</v>
      </c>
      <c r="BP34" s="183">
        <f t="shared" si="290"/>
        <v>8.8057999999999996</v>
      </c>
      <c r="BQ34" s="183">
        <f t="shared" si="290"/>
        <v>7.1247600000000002</v>
      </c>
      <c r="BR34" s="183">
        <f t="shared" si="290"/>
        <v>5.3131700000000004</v>
      </c>
      <c r="BS34" s="215">
        <f t="shared" si="290"/>
        <v>2.31535</v>
      </c>
      <c r="BV34" s="214">
        <f t="shared" ref="BV34:CB34" si="300">BV23/1000</f>
        <v>5.6041000000000007</v>
      </c>
      <c r="BW34" s="183">
        <f t="shared" si="300"/>
        <v>10.901669999999999</v>
      </c>
      <c r="BX34" s="183">
        <f t="shared" si="300"/>
        <v>10.49133</v>
      </c>
      <c r="BY34" s="183">
        <f t="shared" si="300"/>
        <v>8.5708899999999986</v>
      </c>
      <c r="BZ34" s="183">
        <f t="shared" si="300"/>
        <v>6.4644700000000004</v>
      </c>
      <c r="CA34" s="183">
        <f t="shared" si="300"/>
        <v>2.9618600000000002</v>
      </c>
      <c r="CB34" s="215">
        <f t="shared" si="300"/>
        <v>2.536</v>
      </c>
      <c r="CE34" s="214">
        <f t="shared" ref="CE34:CK34" si="301">CE23/1000</f>
        <v>7.5925099999999999</v>
      </c>
      <c r="CF34" s="183">
        <f t="shared" si="301"/>
        <v>11.37111</v>
      </c>
      <c r="CG34" s="183">
        <f t="shared" si="301"/>
        <v>10.474069999999999</v>
      </c>
      <c r="CH34" s="183">
        <f t="shared" si="301"/>
        <v>7.4139999999999997</v>
      </c>
      <c r="CI34" s="183">
        <f t="shared" si="301"/>
        <v>5.2779999999999996</v>
      </c>
      <c r="CJ34" s="183">
        <f t="shared" si="301"/>
        <v>3.3490000000000002</v>
      </c>
      <c r="CK34" s="215">
        <f t="shared" si="301"/>
        <v>2.0830000000000002</v>
      </c>
      <c r="CN34" s="214">
        <f t="shared" ref="CN34:CT34" si="302">CN23/1000</f>
        <v>2.0049999999999999</v>
      </c>
      <c r="CO34" s="183">
        <f t="shared" si="302"/>
        <v>8.6943900000000003</v>
      </c>
      <c r="CP34" s="183">
        <f t="shared" si="302"/>
        <v>7.25563</v>
      </c>
      <c r="CQ34" s="183">
        <f t="shared" si="302"/>
        <v>8.4691399999999994</v>
      </c>
      <c r="CR34" s="183">
        <f t="shared" si="302"/>
        <v>5.87547</v>
      </c>
      <c r="CS34" s="183">
        <f t="shared" si="302"/>
        <v>4.3541000000000007</v>
      </c>
      <c r="CT34" s="215">
        <f t="shared" si="302"/>
        <v>2.8884799999999999</v>
      </c>
      <c r="CW34" s="214">
        <f t="shared" ref="CW34:DC34" si="303">CW23/1000</f>
        <v>10.629</v>
      </c>
      <c r="CX34" s="183">
        <f t="shared" si="303"/>
        <v>11.701139999999999</v>
      </c>
      <c r="CY34" s="183">
        <f t="shared" si="303"/>
        <v>11.26864</v>
      </c>
      <c r="CZ34" s="183">
        <f t="shared" si="303"/>
        <v>9.425930000000001</v>
      </c>
      <c r="DA34" s="183">
        <f t="shared" si="303"/>
        <v>6.1890799999999997</v>
      </c>
      <c r="DB34" s="183">
        <f t="shared" si="303"/>
        <v>5.0547899999999997</v>
      </c>
      <c r="DC34" s="215">
        <f t="shared" si="303"/>
        <v>2.7720700000000003</v>
      </c>
      <c r="DF34" s="214">
        <f t="shared" ref="DF34:DL34" si="304">DF23/1000</f>
        <v>9.6420499999999993</v>
      </c>
      <c r="DG34" s="183">
        <f t="shared" si="304"/>
        <v>10.917209999999999</v>
      </c>
      <c r="DH34" s="183">
        <f t="shared" si="304"/>
        <v>11.350670000000001</v>
      </c>
      <c r="DI34" s="183">
        <f t="shared" si="304"/>
        <v>4.6137899999999998</v>
      </c>
      <c r="DJ34" s="183">
        <f t="shared" si="304"/>
        <v>0</v>
      </c>
      <c r="DK34" s="183">
        <f t="shared" si="304"/>
        <v>0</v>
      </c>
      <c r="DL34" s="215">
        <f t="shared" si="304"/>
        <v>0</v>
      </c>
      <c r="DO34" s="214">
        <f t="shared" ref="DO34:DU34" si="305">DO23/1000</f>
        <v>0</v>
      </c>
      <c r="DP34" s="183">
        <f t="shared" si="305"/>
        <v>0</v>
      </c>
      <c r="DQ34" s="183">
        <f t="shared" si="305"/>
        <v>0</v>
      </c>
      <c r="DR34" s="183">
        <f t="shared" si="305"/>
        <v>0</v>
      </c>
      <c r="DS34" s="183">
        <f t="shared" si="305"/>
        <v>0</v>
      </c>
      <c r="DT34" s="183">
        <f t="shared" si="305"/>
        <v>4.2669700000000006</v>
      </c>
      <c r="DU34" s="215">
        <f t="shared" si="305"/>
        <v>0.46920999999999996</v>
      </c>
      <c r="DX34" s="214">
        <f t="shared" ref="DX34:ED34" si="306">DX23/1000</f>
        <v>0.89427999999999996</v>
      </c>
      <c r="DY34" s="183">
        <f t="shared" si="306"/>
        <v>3.46848</v>
      </c>
      <c r="DZ34" s="183">
        <f t="shared" si="306"/>
        <v>1.0052099999999999</v>
      </c>
      <c r="EA34" s="183">
        <f t="shared" si="306"/>
        <v>6.2579200000000004</v>
      </c>
      <c r="EB34" s="183">
        <f t="shared" si="306"/>
        <v>0</v>
      </c>
      <c r="EC34" s="183">
        <f t="shared" si="306"/>
        <v>0</v>
      </c>
      <c r="ED34" s="215">
        <f t="shared" si="306"/>
        <v>0</v>
      </c>
      <c r="EG34" s="214">
        <f t="shared" ref="EG34:EM34" si="307">EG23/1000</f>
        <v>0</v>
      </c>
      <c r="EH34" s="183">
        <f t="shared" si="307"/>
        <v>0</v>
      </c>
      <c r="EI34" s="183">
        <f t="shared" si="307"/>
        <v>0</v>
      </c>
      <c r="EJ34" s="183">
        <f t="shared" si="307"/>
        <v>0</v>
      </c>
      <c r="EK34" s="183">
        <f t="shared" si="307"/>
        <v>0</v>
      </c>
      <c r="EL34" s="183">
        <f t="shared" si="307"/>
        <v>0</v>
      </c>
      <c r="EM34" s="215">
        <f t="shared" si="307"/>
        <v>0</v>
      </c>
      <c r="EN34"/>
      <c r="EP34" s="214">
        <f t="shared" ref="EP34:EV34" si="308">EP23/1000</f>
        <v>0</v>
      </c>
      <c r="EQ34" s="183">
        <f t="shared" si="308"/>
        <v>0</v>
      </c>
      <c r="ER34" s="183">
        <f t="shared" si="308"/>
        <v>0</v>
      </c>
      <c r="ES34" s="183">
        <f t="shared" si="308"/>
        <v>0</v>
      </c>
      <c r="ET34" s="183">
        <f t="shared" si="308"/>
        <v>0</v>
      </c>
      <c r="EU34" s="183">
        <f t="shared" si="308"/>
        <v>0</v>
      </c>
      <c r="EV34" s="215">
        <f t="shared" si="308"/>
        <v>0</v>
      </c>
      <c r="EW34"/>
    </row>
    <row r="35" spans="2:153" ht="15.6" x14ac:dyDescent="0.3">
      <c r="B35" s="798"/>
      <c r="C35" s="769" t="s">
        <v>160</v>
      </c>
      <c r="D35" s="770"/>
      <c r="E35" s="770"/>
      <c r="F35" s="784" t="s">
        <v>145</v>
      </c>
      <c r="G35" s="785"/>
      <c r="H35" s="166"/>
      <c r="I35" s="183">
        <f t="shared" si="283"/>
        <v>5.3189200000000003</v>
      </c>
      <c r="J35" s="183">
        <f t="shared" si="283"/>
        <v>5.2762200000000004</v>
      </c>
      <c r="K35" s="183">
        <f t="shared" si="283"/>
        <v>5.0080900000000002</v>
      </c>
      <c r="L35" s="183">
        <f t="shared" si="283"/>
        <v>4.36477</v>
      </c>
      <c r="M35" s="183">
        <f t="shared" si="283"/>
        <v>3.52772</v>
      </c>
      <c r="N35" s="183">
        <f t="shared" si="283"/>
        <v>7.8550500000000003</v>
      </c>
      <c r="O35" s="184">
        <f t="shared" si="283"/>
        <v>2.8656799999999998</v>
      </c>
      <c r="P35" s="172"/>
      <c r="Q35" s="185">
        <f t="shared" si="284"/>
        <v>4.2713000000000001</v>
      </c>
      <c r="R35" s="183">
        <f t="shared" si="284"/>
        <v>5.1596599999999997</v>
      </c>
      <c r="S35" s="183">
        <f t="shared" si="284"/>
        <v>5.4742600000000001</v>
      </c>
      <c r="T35" s="183">
        <f t="shared" si="284"/>
        <v>4.5999999999999996</v>
      </c>
      <c r="U35" s="183">
        <f t="shared" si="284"/>
        <v>3.0821000000000001</v>
      </c>
      <c r="V35" s="183">
        <f t="shared" si="284"/>
        <v>5.44252</v>
      </c>
      <c r="W35" s="183">
        <f t="shared" si="284"/>
        <v>3.4948999999999999</v>
      </c>
      <c r="X35" s="172"/>
      <c r="Y35" s="183">
        <f t="shared" si="285"/>
        <v>4.0850200000000001</v>
      </c>
      <c r="Z35" s="183">
        <f t="shared" si="285"/>
        <v>5.0567200000000003</v>
      </c>
      <c r="AA35" s="183">
        <f t="shared" si="285"/>
        <v>5.9597199999999999</v>
      </c>
      <c r="AB35" s="183">
        <f t="shared" si="285"/>
        <v>22.394629999999999</v>
      </c>
      <c r="AC35" s="183">
        <f t="shared" si="285"/>
        <v>19.34854</v>
      </c>
      <c r="AD35" s="183">
        <f t="shared" si="285"/>
        <v>12.08207</v>
      </c>
      <c r="AE35" s="183">
        <f t="shared" si="285"/>
        <v>4.7873599999999996</v>
      </c>
      <c r="AG35" s="183">
        <f t="shared" si="286"/>
        <v>0</v>
      </c>
      <c r="AH35" s="183">
        <f t="shared" si="286"/>
        <v>22.488580000000002</v>
      </c>
      <c r="AI35" s="183">
        <f t="shared" si="286"/>
        <v>0</v>
      </c>
      <c r="AJ35" s="183">
        <f t="shared" si="286"/>
        <v>20.273540000000001</v>
      </c>
      <c r="AK35" s="183">
        <f t="shared" si="286"/>
        <v>0</v>
      </c>
      <c r="AL35" s="183">
        <f t="shared" si="286"/>
        <v>0</v>
      </c>
      <c r="AM35" s="183">
        <f t="shared" si="286"/>
        <v>0</v>
      </c>
      <c r="AO35" s="183">
        <f t="shared" si="287"/>
        <v>0</v>
      </c>
      <c r="AP35" s="183">
        <f t="shared" si="287"/>
        <v>22.816839999999999</v>
      </c>
      <c r="AQ35" s="183">
        <f t="shared" si="287"/>
        <v>23.266310000000001</v>
      </c>
      <c r="AR35" s="183">
        <f t="shared" si="287"/>
        <v>21.315720000000002</v>
      </c>
      <c r="AS35" s="183">
        <f t="shared" si="287"/>
        <v>18.55641</v>
      </c>
      <c r="AT35" s="183">
        <f t="shared" si="287"/>
        <v>13.76562</v>
      </c>
      <c r="AU35" s="183">
        <f t="shared" si="287"/>
        <v>5.7673300000000003</v>
      </c>
      <c r="AW35" s="183">
        <f t="shared" si="288"/>
        <v>0</v>
      </c>
      <c r="AX35" s="183">
        <f t="shared" si="288"/>
        <v>23.37894</v>
      </c>
      <c r="AY35" s="183">
        <f t="shared" si="288"/>
        <v>21.373519999999999</v>
      </c>
      <c r="AZ35" s="183">
        <f t="shared" si="288"/>
        <v>20.71931</v>
      </c>
      <c r="BA35" s="183">
        <f t="shared" si="288"/>
        <v>17.803009999999997</v>
      </c>
      <c r="BB35" s="183">
        <f t="shared" si="288"/>
        <v>7.4966699999999999</v>
      </c>
      <c r="BC35" s="183">
        <f t="shared" si="288"/>
        <v>3.8550500000000003</v>
      </c>
      <c r="BE35" s="183">
        <f t="shared" si="289"/>
        <v>28.076560000000001</v>
      </c>
      <c r="BF35" s="183">
        <f t="shared" si="289"/>
        <v>31.785310000000003</v>
      </c>
      <c r="BG35" s="183">
        <f t="shared" si="289"/>
        <v>0</v>
      </c>
      <c r="BH35" s="183">
        <f t="shared" si="289"/>
        <v>21.689970000000002</v>
      </c>
      <c r="BI35" s="183">
        <f t="shared" si="289"/>
        <v>18.975570000000001</v>
      </c>
      <c r="BJ35" s="183">
        <f t="shared" si="289"/>
        <v>10.64574</v>
      </c>
      <c r="BK35" s="183">
        <f t="shared" si="289"/>
        <v>3.7599</v>
      </c>
      <c r="BM35" s="214">
        <f t="shared" si="290"/>
        <v>21.514250000000001</v>
      </c>
      <c r="BN35" s="183">
        <f t="shared" si="290"/>
        <v>24.392419999999998</v>
      </c>
      <c r="BO35" s="183">
        <f t="shared" si="290"/>
        <v>22.40063</v>
      </c>
      <c r="BP35" s="183">
        <f t="shared" si="290"/>
        <v>20.298689999999997</v>
      </c>
      <c r="BQ35" s="183">
        <f t="shared" si="290"/>
        <v>19.183679999999999</v>
      </c>
      <c r="BR35" s="183">
        <f t="shared" si="290"/>
        <v>15.988160000000001</v>
      </c>
      <c r="BS35" s="215">
        <f t="shared" si="290"/>
        <v>4.9119099999999998</v>
      </c>
      <c r="BV35" s="214">
        <f t="shared" ref="BV35:CB35" si="309">BV24/1000</f>
        <v>20.678240000000002</v>
      </c>
      <c r="BW35" s="183">
        <f t="shared" si="309"/>
        <v>21.341480000000001</v>
      </c>
      <c r="BX35" s="183">
        <f t="shared" si="309"/>
        <v>22.254799999999999</v>
      </c>
      <c r="BY35" s="183">
        <f t="shared" si="309"/>
        <v>22.185580000000002</v>
      </c>
      <c r="BZ35" s="183">
        <f t="shared" si="309"/>
        <v>17.589860000000002</v>
      </c>
      <c r="CA35" s="183">
        <f t="shared" si="309"/>
        <v>9.3537499999999998</v>
      </c>
      <c r="CB35" s="215">
        <f t="shared" si="309"/>
        <v>8.6621600000000001</v>
      </c>
      <c r="CE35" s="214">
        <f t="shared" ref="CE35:CK35" si="310">CE24/1000</f>
        <v>19.784020000000002</v>
      </c>
      <c r="CF35" s="183">
        <f t="shared" si="310"/>
        <v>23.60407</v>
      </c>
      <c r="CG35" s="183">
        <f t="shared" si="310"/>
        <v>29.761470000000003</v>
      </c>
      <c r="CH35" s="183">
        <f t="shared" si="310"/>
        <v>26.132169999999999</v>
      </c>
      <c r="CI35" s="183">
        <f t="shared" si="310"/>
        <v>24.928000000000001</v>
      </c>
      <c r="CJ35" s="183">
        <f t="shared" si="310"/>
        <v>18.033999999999999</v>
      </c>
      <c r="CK35" s="215">
        <f t="shared" si="310"/>
        <v>4.0739999999999998</v>
      </c>
      <c r="CN35" s="214">
        <f t="shared" ref="CN35:CT35" si="311">CN24/1000</f>
        <v>4.1180000000000003</v>
      </c>
      <c r="CO35" s="183">
        <f t="shared" si="311"/>
        <v>23.221060000000001</v>
      </c>
      <c r="CP35" s="183">
        <f t="shared" si="311"/>
        <v>18.818650000000002</v>
      </c>
      <c r="CQ35" s="183">
        <f t="shared" si="311"/>
        <v>22.044319999999999</v>
      </c>
      <c r="CR35" s="183">
        <f t="shared" si="311"/>
        <v>17.787830000000003</v>
      </c>
      <c r="CS35" s="183">
        <f t="shared" si="311"/>
        <v>14.20717</v>
      </c>
      <c r="CT35" s="215">
        <f t="shared" si="311"/>
        <v>7.1765299999999996</v>
      </c>
      <c r="CW35" s="214">
        <f t="shared" ref="CW35:DC35" si="312">CW24/1000</f>
        <v>24.78593</v>
      </c>
      <c r="CX35" s="183">
        <f t="shared" si="312"/>
        <v>28.33747</v>
      </c>
      <c r="CY35" s="183">
        <f t="shared" si="312"/>
        <v>28.942720000000001</v>
      </c>
      <c r="CZ35" s="183">
        <f t="shared" si="312"/>
        <v>26.18131</v>
      </c>
      <c r="DA35" s="183">
        <f t="shared" si="312"/>
        <v>22.752520000000001</v>
      </c>
      <c r="DB35" s="183">
        <f t="shared" si="312"/>
        <v>18.494810000000001</v>
      </c>
      <c r="DC35" s="215">
        <f t="shared" si="312"/>
        <v>9.5860900000000004</v>
      </c>
      <c r="DF35" s="214">
        <f t="shared" ref="DF35:DL35" si="313">DF24/1000</f>
        <v>23.972380000000001</v>
      </c>
      <c r="DG35" s="183">
        <f t="shared" si="313"/>
        <v>25.5837</v>
      </c>
      <c r="DH35" s="183">
        <f t="shared" si="313"/>
        <v>25.562930000000001</v>
      </c>
      <c r="DI35" s="183">
        <f t="shared" si="313"/>
        <v>19.202919999999999</v>
      </c>
      <c r="DJ35" s="183">
        <f t="shared" si="313"/>
        <v>0</v>
      </c>
      <c r="DK35" s="183">
        <f t="shared" si="313"/>
        <v>0</v>
      </c>
      <c r="DL35" s="215">
        <f t="shared" si="313"/>
        <v>0</v>
      </c>
      <c r="DO35" s="214">
        <f t="shared" ref="DO35:DU35" si="314">DO24/1000</f>
        <v>0</v>
      </c>
      <c r="DP35" s="183">
        <f t="shared" si="314"/>
        <v>0</v>
      </c>
      <c r="DQ35" s="183">
        <f t="shared" si="314"/>
        <v>0</v>
      </c>
      <c r="DR35" s="183">
        <f t="shared" si="314"/>
        <v>0</v>
      </c>
      <c r="DS35" s="183">
        <f t="shared" si="314"/>
        <v>0</v>
      </c>
      <c r="DT35" s="183">
        <f t="shared" si="314"/>
        <v>7.6503300000000003</v>
      </c>
      <c r="DU35" s="215">
        <f t="shared" si="314"/>
        <v>1.8245400000000001</v>
      </c>
      <c r="DX35" s="214">
        <f t="shared" ref="DX35:ED35" si="315">DX24/1000</f>
        <v>3.3853800000000001</v>
      </c>
      <c r="DY35" s="183">
        <f t="shared" si="315"/>
        <v>2.8220000000000001</v>
      </c>
      <c r="DZ35" s="183">
        <f t="shared" si="315"/>
        <v>4.3948999999999998</v>
      </c>
      <c r="EA35" s="183">
        <f t="shared" si="315"/>
        <v>12.898370000000002</v>
      </c>
      <c r="EB35" s="183">
        <f t="shared" si="315"/>
        <v>0</v>
      </c>
      <c r="EC35" s="183">
        <f t="shared" si="315"/>
        <v>0</v>
      </c>
      <c r="ED35" s="215">
        <f t="shared" si="315"/>
        <v>0</v>
      </c>
      <c r="EG35" s="214">
        <f t="shared" ref="EG35:EM35" si="316">EG24/1000</f>
        <v>0</v>
      </c>
      <c r="EH35" s="183">
        <f t="shared" si="316"/>
        <v>0</v>
      </c>
      <c r="EI35" s="183">
        <f t="shared" si="316"/>
        <v>0</v>
      </c>
      <c r="EJ35" s="183">
        <f t="shared" si="316"/>
        <v>0</v>
      </c>
      <c r="EK35" s="183">
        <f t="shared" si="316"/>
        <v>0</v>
      </c>
      <c r="EL35" s="183">
        <f t="shared" si="316"/>
        <v>0</v>
      </c>
      <c r="EM35" s="215">
        <f t="shared" si="316"/>
        <v>0</v>
      </c>
      <c r="EN35"/>
      <c r="EP35" s="214">
        <f t="shared" ref="EP35:EV35" si="317">EP24/1000</f>
        <v>0</v>
      </c>
      <c r="EQ35" s="183">
        <f t="shared" si="317"/>
        <v>0</v>
      </c>
      <c r="ER35" s="183">
        <f t="shared" si="317"/>
        <v>0</v>
      </c>
      <c r="ES35" s="183">
        <f t="shared" si="317"/>
        <v>0</v>
      </c>
      <c r="ET35" s="183">
        <f t="shared" si="317"/>
        <v>0</v>
      </c>
      <c r="EU35" s="183">
        <f t="shared" si="317"/>
        <v>0</v>
      </c>
      <c r="EV35" s="215">
        <f t="shared" si="317"/>
        <v>0</v>
      </c>
      <c r="EW35"/>
    </row>
    <row r="36" spans="2:153" ht="15.6" x14ac:dyDescent="0.3">
      <c r="B36" s="798"/>
      <c r="C36" s="766" t="s">
        <v>161</v>
      </c>
      <c r="D36" s="767"/>
      <c r="E36" s="768"/>
      <c r="F36" s="784" t="s">
        <v>149</v>
      </c>
      <c r="G36" s="785"/>
      <c r="H36" s="166"/>
      <c r="I36" s="183">
        <f t="shared" ref="I36:O36" si="318">I22*0.0036</f>
        <v>43.595531999999999</v>
      </c>
      <c r="J36" s="183">
        <f t="shared" si="318"/>
        <v>57.068712000000005</v>
      </c>
      <c r="K36" s="183">
        <f t="shared" si="318"/>
        <v>57.465720000000005</v>
      </c>
      <c r="L36" s="183">
        <f t="shared" si="318"/>
        <v>51.916248000000003</v>
      </c>
      <c r="M36" s="183">
        <f t="shared" si="318"/>
        <v>41.640191999999999</v>
      </c>
      <c r="N36" s="183">
        <f t="shared" si="318"/>
        <v>39.599423999999999</v>
      </c>
      <c r="O36" s="184">
        <f t="shared" si="318"/>
        <v>18.674603999999999</v>
      </c>
      <c r="P36" s="172"/>
      <c r="Q36" s="185">
        <f t="shared" ref="Q36:W36" si="319">Q22*0.0036</f>
        <v>51.107723999999997</v>
      </c>
      <c r="R36" s="183">
        <f t="shared" si="319"/>
        <v>57.800591999999995</v>
      </c>
      <c r="S36" s="183">
        <f t="shared" si="319"/>
        <v>58.602347999999999</v>
      </c>
      <c r="T36" s="183">
        <f t="shared" si="319"/>
        <v>51.796763999999996</v>
      </c>
      <c r="U36" s="183">
        <f t="shared" si="319"/>
        <v>38.900627999999998</v>
      </c>
      <c r="V36" s="183">
        <f t="shared" si="319"/>
        <v>31.801787999999998</v>
      </c>
      <c r="W36" s="183">
        <f t="shared" si="319"/>
        <v>19.750104</v>
      </c>
      <c r="X36" s="172"/>
      <c r="Y36" s="183">
        <f t="shared" ref="Y36:AE36" si="320">Y22*0.0036</f>
        <v>46.422468000000002</v>
      </c>
      <c r="Z36" s="183">
        <f t="shared" si="320"/>
        <v>59.662440000000004</v>
      </c>
      <c r="AA36" s="183">
        <f t="shared" si="320"/>
        <v>62.913240000000002</v>
      </c>
      <c r="AB36" s="183">
        <f t="shared" si="320"/>
        <v>122.07891599999999</v>
      </c>
      <c r="AC36" s="183">
        <f t="shared" si="320"/>
        <v>93.728340000000003</v>
      </c>
      <c r="AD36" s="183">
        <f t="shared" si="320"/>
        <v>52.652231999999998</v>
      </c>
      <c r="AE36" s="183">
        <f t="shared" si="320"/>
        <v>26.405171999999997</v>
      </c>
      <c r="AG36" s="183">
        <f t="shared" ref="AG36:AM36" si="321">AG22*0.0036</f>
        <v>26.917992000000002</v>
      </c>
      <c r="AH36" s="183">
        <f t="shared" si="321"/>
        <v>117.85572000000002</v>
      </c>
      <c r="AI36" s="183">
        <f t="shared" si="321"/>
        <v>0</v>
      </c>
      <c r="AJ36" s="183">
        <f t="shared" si="321"/>
        <v>103.3254</v>
      </c>
      <c r="AK36" s="183">
        <f t="shared" si="321"/>
        <v>0</v>
      </c>
      <c r="AL36" s="183">
        <f t="shared" si="321"/>
        <v>0</v>
      </c>
      <c r="AM36" s="183">
        <f t="shared" si="321"/>
        <v>0</v>
      </c>
      <c r="AO36" s="183">
        <f t="shared" ref="AO36:AU36" si="322">AO22*0.0036</f>
        <v>0</v>
      </c>
      <c r="AP36" s="183">
        <f t="shared" si="322"/>
        <v>118.90551599999999</v>
      </c>
      <c r="AQ36" s="183">
        <f t="shared" si="322"/>
        <v>120.05132400000001</v>
      </c>
      <c r="AR36" s="183">
        <f t="shared" si="322"/>
        <v>109.29402</v>
      </c>
      <c r="AS36" s="183">
        <f t="shared" si="322"/>
        <v>90.148139999999998</v>
      </c>
      <c r="AT36" s="183">
        <f t="shared" si="322"/>
        <v>63.395712000000003</v>
      </c>
      <c r="AU36" s="183">
        <f t="shared" si="322"/>
        <v>30.619403999999996</v>
      </c>
      <c r="AW36" s="183">
        <f t="shared" ref="AW36:BC36" si="323">AW22*0.0036</f>
        <v>0</v>
      </c>
      <c r="AX36" s="183">
        <f t="shared" si="323"/>
        <v>39.443399999999997</v>
      </c>
      <c r="AY36" s="183">
        <f t="shared" si="323"/>
        <v>112.05763200000001</v>
      </c>
      <c r="AZ36" s="183">
        <f t="shared" si="323"/>
        <v>104.79016799999999</v>
      </c>
      <c r="BA36" s="183">
        <f t="shared" si="323"/>
        <v>85.615667999999985</v>
      </c>
      <c r="BB36" s="183">
        <f t="shared" si="323"/>
        <v>37.773360000000004</v>
      </c>
      <c r="BC36" s="183">
        <f t="shared" si="323"/>
        <v>21.375036000000001</v>
      </c>
      <c r="BE36" s="183">
        <f t="shared" ref="BE36:BK36" si="324">BE22*0.0036</f>
        <v>129.868416</v>
      </c>
      <c r="BF36" s="183">
        <f t="shared" si="324"/>
        <v>156.29839200000001</v>
      </c>
      <c r="BG36" s="183">
        <f t="shared" si="324"/>
        <v>0</v>
      </c>
      <c r="BH36" s="183">
        <f t="shared" si="324"/>
        <v>112.97915999999999</v>
      </c>
      <c r="BI36" s="183">
        <f t="shared" si="324"/>
        <v>93.485303999999999</v>
      </c>
      <c r="BJ36" s="183">
        <f t="shared" si="324"/>
        <v>51.814259999999997</v>
      </c>
      <c r="BK36" s="183">
        <f t="shared" si="324"/>
        <v>22.680036000000001</v>
      </c>
      <c r="BM36" s="214">
        <f t="shared" ref="BM36:BS36" si="325">BM22*0.0036</f>
        <v>102.789648</v>
      </c>
      <c r="BN36" s="183">
        <f t="shared" si="325"/>
        <v>127.36753199999998</v>
      </c>
      <c r="BO36" s="183">
        <f t="shared" si="325"/>
        <v>119.008044</v>
      </c>
      <c r="BP36" s="183">
        <f t="shared" si="325"/>
        <v>119.008044</v>
      </c>
      <c r="BQ36" s="183">
        <f t="shared" si="325"/>
        <v>94.710384000000005</v>
      </c>
      <c r="BR36" s="183">
        <f t="shared" si="325"/>
        <v>76.684787999999998</v>
      </c>
      <c r="BS36" s="215">
        <f t="shared" si="325"/>
        <v>26.018135999999998</v>
      </c>
      <c r="BV36" s="214">
        <f t="shared" ref="BV36:CB36" si="326">BV22*0.0036</f>
        <v>94.616424000000009</v>
      </c>
      <c r="BW36" s="183">
        <f t="shared" si="326"/>
        <v>116.07534</v>
      </c>
      <c r="BX36" s="183">
        <f t="shared" si="326"/>
        <v>117.88606799999998</v>
      </c>
      <c r="BY36" s="183">
        <f t="shared" si="326"/>
        <v>110.723292</v>
      </c>
      <c r="BZ36" s="183">
        <f t="shared" si="326"/>
        <v>86.595588000000006</v>
      </c>
      <c r="CA36" s="183">
        <f t="shared" si="326"/>
        <v>44.336196000000001</v>
      </c>
      <c r="CB36" s="215">
        <f t="shared" si="326"/>
        <v>40.313375999999998</v>
      </c>
      <c r="CE36" s="214">
        <f t="shared" ref="CE36:CK36" si="327">CE22*0.0036</f>
        <v>98.555507999999989</v>
      </c>
      <c r="CF36" s="183">
        <f t="shared" si="327"/>
        <v>125.91064799999999</v>
      </c>
      <c r="CG36" s="183">
        <f t="shared" si="327"/>
        <v>144.84794400000001</v>
      </c>
      <c r="CH36" s="183">
        <f t="shared" si="327"/>
        <v>120.766212</v>
      </c>
      <c r="CI36" s="183">
        <f t="shared" si="327"/>
        <v>108.74159999999999</v>
      </c>
      <c r="CJ36" s="183">
        <f t="shared" si="327"/>
        <v>76.978799999999993</v>
      </c>
      <c r="CK36" s="215">
        <f t="shared" si="327"/>
        <v>22.165199999999999</v>
      </c>
      <c r="CN36" s="214">
        <f t="shared" ref="CN36:CT36" si="328">CN22*0.0036</f>
        <v>22.0428</v>
      </c>
      <c r="CO36" s="183">
        <f t="shared" si="328"/>
        <v>114.89561999999999</v>
      </c>
      <c r="CP36" s="183">
        <f t="shared" si="328"/>
        <v>93.867408000000012</v>
      </c>
      <c r="CQ36" s="183">
        <f t="shared" si="328"/>
        <v>109.848456</v>
      </c>
      <c r="CR36" s="183">
        <f t="shared" si="328"/>
        <v>85.187880000000007</v>
      </c>
      <c r="CS36" s="183">
        <f t="shared" si="328"/>
        <v>66.820571999999999</v>
      </c>
      <c r="CT36" s="215">
        <f t="shared" si="328"/>
        <v>36.234036000000003</v>
      </c>
      <c r="CV36" t="s">
        <v>360</v>
      </c>
      <c r="CW36" s="214">
        <f t="shared" ref="CW36:DC36" si="329">CW22*0.0036</f>
        <v>127.493748</v>
      </c>
      <c r="CX36" s="183">
        <f t="shared" si="329"/>
        <v>144.13899599999999</v>
      </c>
      <c r="CY36" s="183">
        <f t="shared" si="329"/>
        <v>144.760896</v>
      </c>
      <c r="CZ36" s="183">
        <f t="shared" si="329"/>
        <v>128.18606400000002</v>
      </c>
      <c r="DA36" s="183">
        <f t="shared" si="329"/>
        <v>104.18975999999999</v>
      </c>
      <c r="DB36" s="183">
        <f t="shared" si="329"/>
        <v>84.778559999999999</v>
      </c>
      <c r="DC36" s="215">
        <f t="shared" si="329"/>
        <v>44.489376</v>
      </c>
      <c r="DF36" s="214">
        <f t="shared" ref="DF36:DL36" si="330">DF22*0.0036</f>
        <v>121.011948</v>
      </c>
      <c r="DG36" s="183">
        <f t="shared" si="330"/>
        <v>131.40327600000001</v>
      </c>
      <c r="DH36" s="183">
        <f t="shared" si="330"/>
        <v>132.88896</v>
      </c>
      <c r="DI36" s="183">
        <f t="shared" si="330"/>
        <v>85.740155999999999</v>
      </c>
      <c r="DJ36" s="183">
        <f t="shared" si="330"/>
        <v>0</v>
      </c>
      <c r="DK36" s="183">
        <f t="shared" si="330"/>
        <v>0</v>
      </c>
      <c r="DL36" s="215">
        <f t="shared" si="330"/>
        <v>0</v>
      </c>
      <c r="DO36" s="214">
        <f t="shared" ref="DO36:DU36" si="331">DO22*0.0036</f>
        <v>0</v>
      </c>
      <c r="DP36" s="183">
        <f t="shared" si="331"/>
        <v>0</v>
      </c>
      <c r="DQ36" s="183">
        <f t="shared" si="331"/>
        <v>0</v>
      </c>
      <c r="DR36" s="183">
        <f t="shared" si="331"/>
        <v>0</v>
      </c>
      <c r="DS36" s="183">
        <f t="shared" si="331"/>
        <v>0</v>
      </c>
      <c r="DT36" s="183">
        <f t="shared" si="331"/>
        <v>42.902279999999998</v>
      </c>
      <c r="DU36" s="215">
        <f t="shared" si="331"/>
        <v>8.2575000000000003</v>
      </c>
      <c r="DX36" s="214">
        <f t="shared" ref="DX36:ED36" si="332">DX22*0.0036</f>
        <v>15.406775999999999</v>
      </c>
      <c r="DY36" s="183">
        <f t="shared" si="332"/>
        <v>22.645727999999998</v>
      </c>
      <c r="DZ36" s="183">
        <f t="shared" si="332"/>
        <v>19.440396</v>
      </c>
      <c r="EA36" s="183">
        <f t="shared" si="332"/>
        <v>68.962643999999997</v>
      </c>
      <c r="EB36" s="183">
        <f t="shared" si="332"/>
        <v>0</v>
      </c>
      <c r="EC36" s="183">
        <f t="shared" si="332"/>
        <v>0</v>
      </c>
      <c r="ED36" s="215">
        <f t="shared" si="332"/>
        <v>0</v>
      </c>
      <c r="EG36" s="214">
        <f t="shared" ref="EG36:EM36" si="333">EG22*0.0036</f>
        <v>0</v>
      </c>
      <c r="EH36" s="183">
        <f t="shared" si="333"/>
        <v>0</v>
      </c>
      <c r="EI36" s="183">
        <f t="shared" si="333"/>
        <v>0</v>
      </c>
      <c r="EJ36" s="183">
        <f t="shared" si="333"/>
        <v>0</v>
      </c>
      <c r="EK36" s="183">
        <f t="shared" si="333"/>
        <v>0</v>
      </c>
      <c r="EL36" s="183">
        <f t="shared" si="333"/>
        <v>0</v>
      </c>
      <c r="EM36" s="215">
        <f t="shared" si="333"/>
        <v>0</v>
      </c>
      <c r="EN36"/>
      <c r="EP36" s="214">
        <f t="shared" ref="EP36:EV36" si="334">EP22*0.0036</f>
        <v>0</v>
      </c>
      <c r="EQ36" s="183">
        <f t="shared" si="334"/>
        <v>0</v>
      </c>
      <c r="ER36" s="183">
        <f t="shared" si="334"/>
        <v>0</v>
      </c>
      <c r="ES36" s="183">
        <f t="shared" si="334"/>
        <v>0</v>
      </c>
      <c r="ET36" s="183">
        <f t="shared" si="334"/>
        <v>0</v>
      </c>
      <c r="EU36" s="183">
        <f t="shared" si="334"/>
        <v>0</v>
      </c>
      <c r="EV36" s="215">
        <f t="shared" si="334"/>
        <v>0</v>
      </c>
      <c r="EW36"/>
    </row>
    <row r="37" spans="2:153" ht="15.75" customHeight="1" thickBot="1" x14ac:dyDescent="0.35">
      <c r="B37" s="799"/>
      <c r="C37" s="788" t="s">
        <v>162</v>
      </c>
      <c r="D37" s="789"/>
      <c r="E37" s="790"/>
      <c r="F37" s="840" t="s">
        <v>151</v>
      </c>
      <c r="G37" s="841"/>
      <c r="H37" s="192"/>
      <c r="I37" s="206">
        <f t="shared" ref="I37:O37" si="335">I36/I21</f>
        <v>4.637822553191489</v>
      </c>
      <c r="J37" s="206">
        <f t="shared" si="335"/>
        <v>1.7889878369905958</v>
      </c>
      <c r="K37" s="206">
        <f t="shared" si="335"/>
        <v>1.3914217917675544</v>
      </c>
      <c r="L37" s="206">
        <f t="shared" si="335"/>
        <v>1.4875715759312322</v>
      </c>
      <c r="M37" s="206">
        <f t="shared" si="335"/>
        <v>1.5197150364963503</v>
      </c>
      <c r="N37" s="206">
        <f t="shared" si="335"/>
        <v>16.499760000000002</v>
      </c>
      <c r="O37" s="222" t="e">
        <f t="shared" si="335"/>
        <v>#DIV/0!</v>
      </c>
      <c r="P37" s="172"/>
      <c r="Q37" s="223">
        <f t="shared" ref="Q37:W37" si="336">Q36/Q21</f>
        <v>1.6328346325878593</v>
      </c>
      <c r="R37" s="206">
        <f t="shared" si="336"/>
        <v>1.2844575999999999</v>
      </c>
      <c r="S37" s="206">
        <f t="shared" si="336"/>
        <v>1.3919797624703087</v>
      </c>
      <c r="T37" s="206">
        <f t="shared" si="336"/>
        <v>1.370284761904762</v>
      </c>
      <c r="U37" s="206">
        <f t="shared" si="336"/>
        <v>1.5077762790697673</v>
      </c>
      <c r="V37" s="206">
        <f t="shared" si="336"/>
        <v>5.2134078688524594</v>
      </c>
      <c r="W37" s="206" t="e">
        <f t="shared" si="336"/>
        <v>#DIV/0!</v>
      </c>
      <c r="X37" s="172"/>
      <c r="Y37" s="206">
        <f t="shared" ref="Y37:AE37" si="337">Y36/Y21</f>
        <v>4.2202243636363637</v>
      </c>
      <c r="Z37" s="206">
        <f t="shared" si="337"/>
        <v>1.3498289592760182</v>
      </c>
      <c r="AA37" s="206">
        <f t="shared" si="337"/>
        <v>1.7095989130434786</v>
      </c>
      <c r="AB37" s="206">
        <f t="shared" si="337"/>
        <v>4.7134716602316598</v>
      </c>
      <c r="AC37" s="206">
        <f t="shared" si="337"/>
        <v>4.9072429319371729</v>
      </c>
      <c r="AD37" s="206">
        <f t="shared" si="337"/>
        <v>30.971901176470588</v>
      </c>
      <c r="AE37" s="206" t="e">
        <f t="shared" si="337"/>
        <v>#DIV/0!</v>
      </c>
      <c r="AG37" s="206">
        <f t="shared" ref="AG37:AM37" si="338">AG36/AG21</f>
        <v>2.4250443243243245</v>
      </c>
      <c r="AH37" s="206">
        <f t="shared" si="338"/>
        <v>3.456179472140763</v>
      </c>
      <c r="AI37" s="206">
        <f t="shared" si="338"/>
        <v>0</v>
      </c>
      <c r="AJ37" s="206">
        <f t="shared" si="338"/>
        <v>4.4536810344827584</v>
      </c>
      <c r="AK37" s="206">
        <f t="shared" si="338"/>
        <v>0</v>
      </c>
      <c r="AL37" s="206">
        <f t="shared" si="338"/>
        <v>0</v>
      </c>
      <c r="AM37" s="206" t="e">
        <f t="shared" si="338"/>
        <v>#DIV/0!</v>
      </c>
      <c r="AO37" s="294" t="e">
        <f t="shared" ref="AO37:AU37" si="339">AO36/AO21</f>
        <v>#DIV/0!</v>
      </c>
      <c r="AP37" s="294">
        <f t="shared" si="339"/>
        <v>3.4972210588235293</v>
      </c>
      <c r="AQ37" s="294">
        <f t="shared" si="339"/>
        <v>3.3255214404432132</v>
      </c>
      <c r="AR37" s="294">
        <f t="shared" si="339"/>
        <v>3.6070633663366336</v>
      </c>
      <c r="AS37" s="294">
        <f t="shared" si="339"/>
        <v>6.2171131034482761</v>
      </c>
      <c r="AT37" s="294">
        <f t="shared" si="339"/>
        <v>15.094217142857143</v>
      </c>
      <c r="AU37" s="294" t="e">
        <f t="shared" si="339"/>
        <v>#DIV/0!</v>
      </c>
      <c r="AW37" s="294">
        <f t="shared" ref="AW37:BC37" si="340">AW36/AW21</f>
        <v>0</v>
      </c>
      <c r="AX37" s="294">
        <f t="shared" si="340"/>
        <v>1.0574638069705093</v>
      </c>
      <c r="AY37" s="294">
        <f t="shared" si="340"/>
        <v>3.5127784326018814</v>
      </c>
      <c r="AZ37" s="294">
        <f t="shared" si="340"/>
        <v>4.3481397510373441</v>
      </c>
      <c r="BA37" s="294">
        <f t="shared" si="340"/>
        <v>7.7131232432432419</v>
      </c>
      <c r="BB37" s="294">
        <f t="shared" si="340"/>
        <v>12.184954838709679</v>
      </c>
      <c r="BC37" s="294" t="e">
        <f t="shared" si="340"/>
        <v>#DIV/0!</v>
      </c>
      <c r="BE37" s="294">
        <f t="shared" ref="BE37:BK37" si="341">BE36/BE21</f>
        <v>10.145969999999998</v>
      </c>
      <c r="BF37" s="294">
        <f t="shared" si="341"/>
        <v>3.6603838875878218</v>
      </c>
      <c r="BG37" s="294">
        <f t="shared" si="341"/>
        <v>0</v>
      </c>
      <c r="BH37" s="294">
        <f t="shared" si="341"/>
        <v>3.609557827476038</v>
      </c>
      <c r="BI37" s="294">
        <f t="shared" si="341"/>
        <v>5.631644819277108</v>
      </c>
      <c r="BJ37" s="294">
        <f t="shared" si="341"/>
        <v>9.2525464285714278</v>
      </c>
      <c r="BK37" s="294" t="e">
        <f t="shared" si="341"/>
        <v>#DIV/0!</v>
      </c>
      <c r="BM37" s="216">
        <f t="shared" ref="BM37:BS37" si="342">BM36/BM21</f>
        <v>27.780985945945943</v>
      </c>
      <c r="BN37" s="217">
        <f t="shared" si="342"/>
        <v>3.0181879620853076</v>
      </c>
      <c r="BO37" s="217">
        <f t="shared" si="342"/>
        <v>3.2251502439024393</v>
      </c>
      <c r="BP37" s="217">
        <f t="shared" si="342"/>
        <v>3.7780331428571428</v>
      </c>
      <c r="BQ37" s="217">
        <f t="shared" si="342"/>
        <v>4.4886437914691939</v>
      </c>
      <c r="BR37" s="217">
        <f t="shared" si="342"/>
        <v>6.3903989999999995</v>
      </c>
      <c r="BS37" s="218" t="e">
        <f t="shared" si="342"/>
        <v>#DIV/0!</v>
      </c>
      <c r="BV37" s="216">
        <f t="shared" ref="BV37:CB37" si="343">BV36/BV21</f>
        <v>49.798117894736848</v>
      </c>
      <c r="BW37" s="217">
        <f t="shared" si="343"/>
        <v>2.6501219178082192</v>
      </c>
      <c r="BX37" s="217">
        <f t="shared" si="343"/>
        <v>3.0779652219321147</v>
      </c>
      <c r="BY37" s="217">
        <f t="shared" si="343"/>
        <v>3.8579544250871081</v>
      </c>
      <c r="BZ37" s="217">
        <f t="shared" si="343"/>
        <v>6.0135825000000001</v>
      </c>
      <c r="CA37" s="217" t="e">
        <f t="shared" si="343"/>
        <v>#DIV/0!</v>
      </c>
      <c r="CB37" s="218" t="e">
        <f t="shared" si="343"/>
        <v>#DIV/0!</v>
      </c>
      <c r="CE37" s="216">
        <f t="shared" ref="CE37:CK37" si="344">CE36/CE21</f>
        <v>5.1871319999999992</v>
      </c>
      <c r="CF37" s="217">
        <f t="shared" si="344"/>
        <v>2.8746723287671232</v>
      </c>
      <c r="CG37" s="217">
        <f t="shared" si="344"/>
        <v>3.8421205305039789</v>
      </c>
      <c r="CH37" s="217">
        <f t="shared" si="344"/>
        <v>6.6355061538461539</v>
      </c>
      <c r="CI37" s="217">
        <f t="shared" si="344"/>
        <v>14.498879999999998</v>
      </c>
      <c r="CJ37" s="217">
        <f t="shared" si="344"/>
        <v>48.111749999999994</v>
      </c>
      <c r="CK37" s="218" t="e">
        <f t="shared" si="344"/>
        <v>#DIV/0!</v>
      </c>
      <c r="CN37" s="216" t="e">
        <f t="shared" ref="CN37:CT37" si="345">CN36/CN21</f>
        <v>#DIV/0!</v>
      </c>
      <c r="CO37" s="217">
        <f t="shared" si="345"/>
        <v>4.8684584745762702</v>
      </c>
      <c r="CP37" s="217">
        <f t="shared" si="345"/>
        <v>3.0675623529411769</v>
      </c>
      <c r="CQ37" s="217">
        <f t="shared" si="345"/>
        <v>4.520512592592592</v>
      </c>
      <c r="CR37" s="217">
        <f t="shared" si="345"/>
        <v>4.6806527472527479</v>
      </c>
      <c r="CS37" s="217">
        <f t="shared" si="345"/>
        <v>10.777511612903226</v>
      </c>
      <c r="CT37" s="218" t="e">
        <f t="shared" si="345"/>
        <v>#DIV/0!</v>
      </c>
      <c r="CW37" s="216">
        <f t="shared" ref="CW37:DC37" si="346">CW36/CW21</f>
        <v>3.408923743315508</v>
      </c>
      <c r="CX37" s="217">
        <f t="shared" si="346"/>
        <v>3.4318808571428567</v>
      </c>
      <c r="CY37" s="217">
        <f t="shared" si="346"/>
        <v>3.2751333936651581</v>
      </c>
      <c r="CZ37" s="217">
        <f t="shared" si="346"/>
        <v>4.611009496402878</v>
      </c>
      <c r="DA37" s="217">
        <f t="shared" si="346"/>
        <v>7.442125714285714</v>
      </c>
      <c r="DB37" s="217">
        <f t="shared" si="346"/>
        <v>6.9490622950819674</v>
      </c>
      <c r="DC37" s="218">
        <f t="shared" si="346"/>
        <v>88.978752</v>
      </c>
      <c r="DF37" s="216">
        <f t="shared" ref="DF37:DL37" si="347">DF36/DF21</f>
        <v>3.5696739823008845</v>
      </c>
      <c r="DG37" s="217">
        <f t="shared" si="347"/>
        <v>3.2206685294117645</v>
      </c>
      <c r="DH37" s="217">
        <f t="shared" si="347"/>
        <v>4.4743757575757579</v>
      </c>
      <c r="DI37" s="217">
        <f t="shared" si="347"/>
        <v>13.609548571428572</v>
      </c>
      <c r="DJ37" s="217" t="e">
        <f t="shared" si="347"/>
        <v>#DIV/0!</v>
      </c>
      <c r="DK37" s="217" t="e">
        <f t="shared" si="347"/>
        <v>#DIV/0!</v>
      </c>
      <c r="DL37" s="218" t="e">
        <f t="shared" si="347"/>
        <v>#DIV/0!</v>
      </c>
      <c r="DO37" s="216" t="e">
        <f t="shared" ref="DO37:DU37" si="348">DO36/DO21</f>
        <v>#DIV/0!</v>
      </c>
      <c r="DP37" s="217" t="e">
        <f t="shared" si="348"/>
        <v>#DIV/0!</v>
      </c>
      <c r="DQ37" s="217" t="e">
        <f t="shared" si="348"/>
        <v>#DIV/0!</v>
      </c>
      <c r="DR37" s="217" t="e">
        <f t="shared" si="348"/>
        <v>#DIV/0!</v>
      </c>
      <c r="DS37" s="217">
        <f t="shared" si="348"/>
        <v>0</v>
      </c>
      <c r="DT37" s="217">
        <f t="shared" si="348"/>
        <v>1.577289705882353</v>
      </c>
      <c r="DU37" s="218">
        <f t="shared" si="348"/>
        <v>0.42281105990783407</v>
      </c>
      <c r="DX37" s="216">
        <f>IF(ISNUMBER(DX21),DX36/DX21,)</f>
        <v>0</v>
      </c>
      <c r="DY37" s="216">
        <f t="shared" ref="DY37:ED37" si="349">IF(ISNUMBER(DY21),DY36/DY21,)</f>
        <v>0</v>
      </c>
      <c r="DZ37" s="216">
        <f t="shared" si="349"/>
        <v>0</v>
      </c>
      <c r="EA37" s="216">
        <f t="shared" si="349"/>
        <v>3.6438045017436327</v>
      </c>
      <c r="EB37" s="216">
        <f t="shared" si="349"/>
        <v>0</v>
      </c>
      <c r="EC37" s="216">
        <f t="shared" si="349"/>
        <v>0</v>
      </c>
      <c r="ED37" s="216">
        <f t="shared" si="349"/>
        <v>0</v>
      </c>
      <c r="EG37" s="216">
        <f>IF(ISNUMBER(EG21),EG36/EG21,)</f>
        <v>0</v>
      </c>
      <c r="EH37" s="216">
        <f t="shared" ref="EH37:EM37" si="350">IF(ISNUMBER(EH21),EH36/EH21,)</f>
        <v>0</v>
      </c>
      <c r="EI37" s="216">
        <f t="shared" si="350"/>
        <v>0</v>
      </c>
      <c r="EJ37" s="216">
        <f t="shared" si="350"/>
        <v>0</v>
      </c>
      <c r="EK37" s="216">
        <f t="shared" si="350"/>
        <v>0</v>
      </c>
      <c r="EL37" s="216">
        <f t="shared" si="350"/>
        <v>0</v>
      </c>
      <c r="EM37" s="216">
        <f t="shared" si="350"/>
        <v>0</v>
      </c>
      <c r="EN37"/>
      <c r="EP37" s="216">
        <f>IF(ISNUMBER(EP21),EP36/EP21,)</f>
        <v>0</v>
      </c>
      <c r="EQ37" s="216">
        <f t="shared" ref="EQ37:EV37" si="351">IF(ISNUMBER(EQ21),EQ36/EQ21,)</f>
        <v>0</v>
      </c>
      <c r="ER37" s="216">
        <f t="shared" si="351"/>
        <v>0</v>
      </c>
      <c r="ES37" s="216">
        <f t="shared" si="351"/>
        <v>0</v>
      </c>
      <c r="ET37" s="216">
        <f t="shared" si="351"/>
        <v>0</v>
      </c>
      <c r="EU37" s="216">
        <f t="shared" si="351"/>
        <v>0</v>
      </c>
      <c r="EV37" s="216">
        <f t="shared" si="351"/>
        <v>0</v>
      </c>
      <c r="EW37"/>
    </row>
    <row r="38" spans="2:153" s="655" customFormat="1" ht="16.5" customHeight="1" thickBot="1" x14ac:dyDescent="0.35">
      <c r="B38" s="229"/>
      <c r="C38" s="204"/>
      <c r="D38" s="204"/>
      <c r="E38" s="204"/>
      <c r="F38" s="204"/>
      <c r="G38" s="204"/>
      <c r="H38" s="227"/>
      <c r="I38" s="208"/>
      <c r="J38" s="208"/>
      <c r="K38" s="208"/>
      <c r="L38" s="208"/>
      <c r="M38" s="208"/>
      <c r="N38" s="208"/>
      <c r="O38" s="208"/>
      <c r="P38" s="228"/>
      <c r="Q38" s="208"/>
      <c r="R38" s="208"/>
      <c r="S38" s="208"/>
      <c r="T38" s="208"/>
      <c r="U38" s="208"/>
      <c r="V38" s="208"/>
      <c r="W38" s="208"/>
      <c r="X38" s="228"/>
      <c r="Y38" s="208"/>
      <c r="Z38" s="208"/>
      <c r="AA38" s="208"/>
      <c r="AB38" s="208"/>
      <c r="AC38" s="208"/>
      <c r="AD38" s="208"/>
      <c r="AE38" s="208"/>
      <c r="AF38" s="229"/>
      <c r="AG38" s="208"/>
      <c r="AH38" s="208"/>
      <c r="AI38" s="208"/>
      <c r="AJ38" s="208"/>
      <c r="AK38" s="208"/>
      <c r="AL38" s="208"/>
      <c r="AM38" s="208"/>
      <c r="AN38" s="229"/>
      <c r="AO38" s="208"/>
      <c r="AP38" s="208"/>
      <c r="AQ38" s="208"/>
      <c r="AR38" s="208"/>
      <c r="AS38" s="208"/>
      <c r="AT38" s="208"/>
      <c r="AU38" s="208"/>
      <c r="AV38" s="229"/>
      <c r="AW38" s="208"/>
      <c r="AX38" s="208"/>
      <c r="AY38" s="208"/>
      <c r="AZ38" s="208"/>
      <c r="BA38" s="208"/>
      <c r="BB38" s="208"/>
      <c r="BC38" s="208"/>
      <c r="BD38" s="229"/>
      <c r="BE38" s="208"/>
      <c r="BF38" s="208"/>
      <c r="BG38" s="208"/>
      <c r="BH38" s="208"/>
      <c r="BI38" s="208"/>
      <c r="BJ38" s="208"/>
      <c r="BK38" s="208"/>
      <c r="BL38" s="229"/>
      <c r="BM38" s="230"/>
      <c r="BN38" s="230"/>
      <c r="BO38" s="230"/>
      <c r="BP38" s="230"/>
      <c r="BQ38" s="230"/>
      <c r="BR38" s="230"/>
      <c r="BS38" s="230"/>
      <c r="BT38" s="230"/>
      <c r="BU38" s="230"/>
      <c r="BV38" s="230"/>
      <c r="BW38" s="230"/>
      <c r="BX38" s="230"/>
      <c r="BY38" s="230"/>
      <c r="BZ38" s="230"/>
      <c r="CA38" s="230"/>
      <c r="CB38" s="230"/>
      <c r="CC38" s="230"/>
      <c r="CD38" s="229"/>
      <c r="CE38" s="230"/>
      <c r="CF38" s="230"/>
      <c r="CG38" s="230"/>
      <c r="CH38" s="230"/>
      <c r="CI38" s="230"/>
      <c r="CJ38" s="230"/>
      <c r="CK38" s="230"/>
      <c r="CL38" s="230"/>
      <c r="CM38" s="229"/>
      <c r="CN38" s="230"/>
      <c r="CO38" s="230"/>
      <c r="CP38" s="230"/>
      <c r="CQ38" s="230"/>
      <c r="CR38" s="230"/>
      <c r="CS38" s="230"/>
      <c r="CT38" s="230"/>
      <c r="CU38" s="230"/>
      <c r="CV38" s="229"/>
      <c r="CW38" s="230"/>
      <c r="CX38" s="230"/>
      <c r="CY38" s="230"/>
      <c r="CZ38" s="230"/>
      <c r="DA38" s="230"/>
      <c r="DB38" s="230"/>
      <c r="DC38" s="230"/>
      <c r="DD38" s="230"/>
      <c r="DE38" s="229"/>
      <c r="DF38" s="230"/>
      <c r="DG38" s="230"/>
      <c r="DH38" s="230"/>
      <c r="DI38" s="230"/>
      <c r="DJ38" s="230"/>
      <c r="DK38" s="230"/>
      <c r="DL38" s="230"/>
      <c r="DM38" s="230"/>
      <c r="DN38" s="229"/>
      <c r="DO38" s="230"/>
      <c r="DP38" s="230"/>
      <c r="DQ38" s="230"/>
      <c r="DR38" s="230"/>
      <c r="DS38" s="230"/>
      <c r="DT38" s="230"/>
      <c r="DU38" s="230"/>
      <c r="DV38" s="230"/>
      <c r="DW38" s="229"/>
      <c r="DX38" s="230"/>
      <c r="DY38" s="230"/>
      <c r="DZ38" s="230"/>
      <c r="EA38" s="230"/>
      <c r="EB38" s="230"/>
      <c r="EC38" s="230"/>
      <c r="ED38" s="230"/>
      <c r="EE38" s="230"/>
      <c r="EF38" s="229"/>
      <c r="EG38" s="230"/>
      <c r="EH38" s="230"/>
      <c r="EI38" s="230"/>
      <c r="EJ38" s="230"/>
      <c r="EK38" s="230"/>
      <c r="EL38" s="230"/>
      <c r="EM38" s="230"/>
      <c r="EN38" s="230"/>
      <c r="EP38" s="230"/>
      <c r="EQ38" s="230"/>
      <c r="ER38" s="230"/>
      <c r="ES38" s="230"/>
      <c r="ET38" s="230"/>
      <c r="EU38" s="230"/>
      <c r="EV38" s="230"/>
      <c r="EW38" s="230"/>
    </row>
    <row r="39" spans="2:153" ht="15.75" customHeight="1" x14ac:dyDescent="0.3">
      <c r="B39" s="800" t="s">
        <v>18</v>
      </c>
      <c r="C39" s="775" t="s">
        <v>163</v>
      </c>
      <c r="D39" s="776"/>
      <c r="E39" s="512" t="s">
        <v>308</v>
      </c>
      <c r="F39" s="786" t="s">
        <v>164</v>
      </c>
      <c r="G39" s="787"/>
      <c r="H39" s="166"/>
      <c r="I39" s="207">
        <v>102.15300000000001</v>
      </c>
      <c r="J39" s="207">
        <v>88.01</v>
      </c>
      <c r="K39" s="207">
        <v>72.599999999999994</v>
      </c>
      <c r="L39" s="207">
        <v>65.599999999999994</v>
      </c>
      <c r="M39" s="207">
        <v>35.340000000000003</v>
      </c>
      <c r="N39" s="207">
        <v>0</v>
      </c>
      <c r="O39" s="224">
        <v>0</v>
      </c>
      <c r="P39" s="172"/>
      <c r="Q39" s="225">
        <v>88.6</v>
      </c>
      <c r="R39" s="207">
        <v>73.171999999999997</v>
      </c>
      <c r="S39" s="207">
        <v>66.45</v>
      </c>
      <c r="T39" s="207">
        <v>55.3</v>
      </c>
      <c r="U39" s="207"/>
      <c r="V39" s="207"/>
      <c r="W39" s="207"/>
      <c r="X39" s="172"/>
      <c r="Y39" s="207">
        <v>47.9</v>
      </c>
      <c r="Z39" s="207">
        <v>78.8</v>
      </c>
      <c r="AA39" s="207">
        <v>71.900000000000006</v>
      </c>
      <c r="AB39" s="207">
        <v>53.85</v>
      </c>
      <c r="AC39" s="207">
        <v>93.111999999999995</v>
      </c>
      <c r="AD39" s="207">
        <v>2.1</v>
      </c>
      <c r="AE39" s="207"/>
      <c r="AG39" s="207">
        <v>62.7</v>
      </c>
      <c r="AH39" s="207">
        <v>90.98</v>
      </c>
      <c r="AI39" s="207">
        <v>85.912000000000006</v>
      </c>
      <c r="AJ39" s="207">
        <v>53.1</v>
      </c>
      <c r="AK39" s="207">
        <v>0</v>
      </c>
      <c r="AL39" s="207">
        <v>0</v>
      </c>
      <c r="AM39" s="207">
        <v>0</v>
      </c>
      <c r="AO39" s="207">
        <v>0</v>
      </c>
      <c r="AP39" s="207">
        <v>104.8</v>
      </c>
      <c r="AQ39" s="207">
        <v>78.3</v>
      </c>
      <c r="AR39" s="207">
        <v>74.599999999999994</v>
      </c>
      <c r="AS39" s="207">
        <v>111.78</v>
      </c>
      <c r="AT39" s="207">
        <v>0</v>
      </c>
      <c r="AU39" s="207">
        <v>0</v>
      </c>
      <c r="AW39" s="209">
        <v>100.46</v>
      </c>
      <c r="AX39" s="210">
        <v>59.103999999999999</v>
      </c>
      <c r="AY39" s="210">
        <v>110</v>
      </c>
      <c r="AZ39" s="210">
        <v>48.9</v>
      </c>
      <c r="BA39" s="210"/>
      <c r="BB39" s="210"/>
      <c r="BC39" s="211"/>
      <c r="BE39" s="207">
        <v>101.5</v>
      </c>
      <c r="BF39" s="207">
        <v>88.19</v>
      </c>
      <c r="BG39" s="207"/>
      <c r="BH39" s="207">
        <v>61.1</v>
      </c>
      <c r="BI39" s="207"/>
      <c r="BJ39" s="207"/>
      <c r="BK39" s="207"/>
      <c r="BM39" s="209">
        <v>93.6</v>
      </c>
      <c r="BN39" s="210">
        <v>54.6</v>
      </c>
      <c r="BO39" s="210">
        <v>72.7</v>
      </c>
      <c r="BP39" s="210">
        <v>44.7</v>
      </c>
      <c r="BQ39" s="210">
        <v>0</v>
      </c>
      <c r="BR39" s="210">
        <v>0</v>
      </c>
      <c r="BS39" s="258">
        <v>0</v>
      </c>
      <c r="BT39" s="255">
        <f>SUM(BM39:BS39)</f>
        <v>265.59999999999997</v>
      </c>
      <c r="BV39" s="209">
        <v>93</v>
      </c>
      <c r="BW39" s="210">
        <v>101</v>
      </c>
      <c r="BX39" s="210">
        <v>37.200000000000003</v>
      </c>
      <c r="BY39" s="210">
        <v>102.2</v>
      </c>
      <c r="BZ39" s="210">
        <v>6.5</v>
      </c>
      <c r="CA39" s="210"/>
      <c r="CB39" s="258"/>
      <c r="CC39" s="255">
        <f>SUM(BV39:CB39)</f>
        <v>339.9</v>
      </c>
      <c r="CE39" s="209">
        <v>84</v>
      </c>
      <c r="CF39" s="210">
        <v>68.8</v>
      </c>
      <c r="CG39" s="210">
        <v>107.6</v>
      </c>
      <c r="CH39" s="210">
        <v>64.400000000000006</v>
      </c>
      <c r="CI39" s="210">
        <v>0</v>
      </c>
      <c r="CJ39" s="210">
        <v>0</v>
      </c>
      <c r="CK39" s="258">
        <v>0</v>
      </c>
      <c r="CL39" s="255">
        <f>SUM(CE39:CK39)</f>
        <v>324.79999999999995</v>
      </c>
      <c r="CN39" s="209">
        <v>0</v>
      </c>
      <c r="CO39" s="210">
        <v>91.82</v>
      </c>
      <c r="CP39" s="210">
        <v>113</v>
      </c>
      <c r="CQ39" s="210">
        <v>96.2</v>
      </c>
      <c r="CR39" s="210">
        <v>25.5</v>
      </c>
      <c r="CS39" s="210"/>
      <c r="CT39" s="258"/>
      <c r="CU39" s="255">
        <f>SUM(CN39:CT39)</f>
        <v>326.52</v>
      </c>
      <c r="CW39" s="209">
        <v>138.30000000000001</v>
      </c>
      <c r="CX39" s="210">
        <v>102.4</v>
      </c>
      <c r="CY39" s="210">
        <v>100.3</v>
      </c>
      <c r="CZ39" s="210"/>
      <c r="DA39" s="210"/>
      <c r="DB39" s="210"/>
      <c r="DC39" s="258"/>
      <c r="DD39" s="255">
        <f>SUM(CW39:DC39)</f>
        <v>341</v>
      </c>
      <c r="DF39" s="209">
        <v>103.9</v>
      </c>
      <c r="DG39" s="210">
        <v>33</v>
      </c>
      <c r="DH39" s="210">
        <v>70.900000000000006</v>
      </c>
      <c r="DI39" s="210"/>
      <c r="DJ39" s="210"/>
      <c r="DK39" s="210"/>
      <c r="DL39" s="258"/>
      <c r="DM39" s="255">
        <f>SUM(DF39:DL39)</f>
        <v>207.8</v>
      </c>
      <c r="DO39" s="209"/>
      <c r="DP39" s="210"/>
      <c r="DQ39" s="210"/>
      <c r="DR39" s="210"/>
      <c r="DS39" s="210"/>
      <c r="DT39" s="210"/>
      <c r="DU39" s="258"/>
      <c r="DV39" s="255">
        <f>SUM(DO39:DU39)</f>
        <v>0</v>
      </c>
      <c r="DX39" s="209"/>
      <c r="DY39" s="210"/>
      <c r="DZ39" s="210">
        <v>83.4</v>
      </c>
      <c r="EA39" s="210">
        <v>83.4</v>
      </c>
      <c r="EB39" s="210"/>
      <c r="EC39" s="210"/>
      <c r="ED39" s="258"/>
      <c r="EE39" s="255">
        <f>SUM(DX39:ED39)</f>
        <v>166.8</v>
      </c>
      <c r="EG39" s="209"/>
      <c r="EH39" s="210"/>
      <c r="EI39" s="210"/>
      <c r="EJ39" s="210"/>
      <c r="EK39" s="210"/>
      <c r="EL39" s="210"/>
      <c r="EM39" s="258"/>
      <c r="EN39" s="255">
        <f>SUM(EG39:EM39)</f>
        <v>0</v>
      </c>
      <c r="EP39" s="209"/>
      <c r="EQ39" s="210"/>
      <c r="ER39" s="210"/>
      <c r="ES39" s="210"/>
      <c r="ET39" s="210"/>
      <c r="EU39" s="210"/>
      <c r="EV39" s="258"/>
      <c r="EW39" s="255">
        <f>SUM(EP39:EV39)</f>
        <v>0</v>
      </c>
    </row>
    <row r="40" spans="2:153" ht="15.6" x14ac:dyDescent="0.3">
      <c r="B40" s="801"/>
      <c r="C40" s="513" t="s">
        <v>165</v>
      </c>
      <c r="D40" s="514"/>
      <c r="E40" s="512" t="s">
        <v>308</v>
      </c>
      <c r="F40" s="176" t="s">
        <v>164</v>
      </c>
      <c r="G40" s="177"/>
      <c r="H40" s="166"/>
      <c r="I40" s="173">
        <v>13.32</v>
      </c>
      <c r="J40" s="173">
        <v>17.922000000000001</v>
      </c>
      <c r="K40" s="173">
        <v>16.5</v>
      </c>
      <c r="L40" s="173">
        <v>10.9</v>
      </c>
      <c r="M40" s="173">
        <v>4.7</v>
      </c>
      <c r="N40" s="173">
        <v>0</v>
      </c>
      <c r="O40" s="174">
        <v>0</v>
      </c>
      <c r="P40" s="172"/>
      <c r="Q40" s="175">
        <v>6</v>
      </c>
      <c r="R40" s="173">
        <v>14.53</v>
      </c>
      <c r="S40" s="173">
        <v>6.556</v>
      </c>
      <c r="T40" s="173">
        <v>13.2</v>
      </c>
      <c r="U40" s="173"/>
      <c r="V40" s="173"/>
      <c r="W40" s="173"/>
      <c r="X40" s="172"/>
      <c r="Y40" s="173">
        <v>0</v>
      </c>
      <c r="Z40" s="173">
        <v>7.8</v>
      </c>
      <c r="AA40" s="173">
        <v>16.3</v>
      </c>
      <c r="AB40" s="173">
        <v>11.9</v>
      </c>
      <c r="AC40" s="173"/>
      <c r="AD40" s="173"/>
      <c r="AE40" s="173"/>
      <c r="AG40" s="173">
        <v>16.61</v>
      </c>
      <c r="AH40" s="173">
        <v>15.388999999999999</v>
      </c>
      <c r="AI40" s="173">
        <v>6.47</v>
      </c>
      <c r="AJ40" s="173">
        <v>2.8</v>
      </c>
      <c r="AK40" s="173">
        <v>0</v>
      </c>
      <c r="AL40" s="173">
        <v>0</v>
      </c>
      <c r="AM40" s="173">
        <v>0</v>
      </c>
      <c r="AO40" s="173">
        <v>0</v>
      </c>
      <c r="AP40" s="173">
        <v>13.2</v>
      </c>
      <c r="AQ40" s="173">
        <v>15.03</v>
      </c>
      <c r="AR40" s="173">
        <v>14.7</v>
      </c>
      <c r="AS40" s="173">
        <v>0</v>
      </c>
      <c r="AT40" s="173">
        <v>0</v>
      </c>
      <c r="AU40" s="173">
        <v>0</v>
      </c>
      <c r="AW40" s="212"/>
      <c r="AX40" s="173">
        <v>15.103</v>
      </c>
      <c r="AY40" s="173">
        <v>19.8</v>
      </c>
      <c r="AZ40" s="173">
        <v>13.9</v>
      </c>
      <c r="BA40" s="173">
        <v>2.6</v>
      </c>
      <c r="BB40" s="173"/>
      <c r="BC40" s="213"/>
      <c r="BE40" s="173">
        <v>14.6</v>
      </c>
      <c r="BF40" s="173">
        <v>19.43</v>
      </c>
      <c r="BG40" s="173"/>
      <c r="BH40" s="173">
        <v>9.0760000000000005</v>
      </c>
      <c r="BI40" s="173"/>
      <c r="BJ40" s="173"/>
      <c r="BK40" s="173"/>
      <c r="BM40" s="212">
        <v>4.5999999999999996</v>
      </c>
      <c r="BN40" s="173">
        <v>0</v>
      </c>
      <c r="BO40" s="173">
        <v>0</v>
      </c>
      <c r="BP40" s="173">
        <v>0</v>
      </c>
      <c r="BQ40" s="173">
        <v>0</v>
      </c>
      <c r="BR40" s="173">
        <v>0</v>
      </c>
      <c r="BS40" s="174">
        <v>0</v>
      </c>
      <c r="BT40" s="256">
        <f t="shared" ref="BT40:BT46" si="352">SUM(BM40:BS40)</f>
        <v>4.5999999999999996</v>
      </c>
      <c r="BV40" s="212"/>
      <c r="BW40" s="173">
        <v>0</v>
      </c>
      <c r="BX40" s="173">
        <v>0</v>
      </c>
      <c r="BY40" s="173">
        <v>0</v>
      </c>
      <c r="BZ40" s="173">
        <v>0</v>
      </c>
      <c r="CA40" s="173">
        <v>0</v>
      </c>
      <c r="CB40" s="174">
        <v>0</v>
      </c>
      <c r="CC40" s="256">
        <f t="shared" ref="CC40:CC46" si="353">SUM(BV40:CB40)</f>
        <v>0</v>
      </c>
      <c r="CE40" s="212">
        <v>13.14</v>
      </c>
      <c r="CF40" s="173">
        <v>15.9</v>
      </c>
      <c r="CG40" s="173">
        <v>15.2</v>
      </c>
      <c r="CH40" s="173">
        <v>13.1</v>
      </c>
      <c r="CI40" s="173">
        <v>0</v>
      </c>
      <c r="CJ40" s="173">
        <v>1.75</v>
      </c>
      <c r="CK40" s="174">
        <v>0</v>
      </c>
      <c r="CL40" s="256">
        <f t="shared" ref="CL40:CL46" si="354">SUM(CE40:CK40)</f>
        <v>59.089999999999996</v>
      </c>
      <c r="CN40" s="212">
        <v>0</v>
      </c>
      <c r="CO40" s="173">
        <v>16.3</v>
      </c>
      <c r="CP40" s="173">
        <v>16</v>
      </c>
      <c r="CQ40" s="173">
        <v>20.399999999999999</v>
      </c>
      <c r="CR40" s="173"/>
      <c r="CS40" s="173"/>
      <c r="CT40" s="174"/>
      <c r="CU40" s="256">
        <f t="shared" ref="CU40:CU46" si="355">SUM(CN40:CT40)</f>
        <v>52.699999999999996</v>
      </c>
      <c r="CW40" s="212">
        <v>15.3</v>
      </c>
      <c r="CX40" s="173">
        <v>66.19</v>
      </c>
      <c r="CY40" s="173">
        <v>17.3</v>
      </c>
      <c r="CZ40" s="173"/>
      <c r="DA40" s="173"/>
      <c r="DB40" s="173"/>
      <c r="DC40" s="174"/>
      <c r="DD40" s="256">
        <f t="shared" ref="DD40:DD46" si="356">SUM(CW40:DC40)</f>
        <v>98.789999999999992</v>
      </c>
      <c r="DF40" s="212">
        <v>14.33</v>
      </c>
      <c r="DG40" s="173">
        <v>14.13</v>
      </c>
      <c r="DH40" s="173">
        <v>7.5</v>
      </c>
      <c r="DI40" s="173"/>
      <c r="DJ40" s="173"/>
      <c r="DK40" s="173"/>
      <c r="DL40" s="174"/>
      <c r="DM40" s="256">
        <f t="shared" ref="DM40:DM46" si="357">SUM(DF40:DL40)</f>
        <v>35.96</v>
      </c>
      <c r="DO40" s="212"/>
      <c r="DP40" s="173"/>
      <c r="DQ40" s="173"/>
      <c r="DR40" s="173"/>
      <c r="DS40" s="173"/>
      <c r="DT40" s="173"/>
      <c r="DU40" s="174"/>
      <c r="DV40" s="256">
        <f t="shared" ref="DV40:DV46" si="358">SUM(DO40:DU40)</f>
        <v>0</v>
      </c>
      <c r="DX40" s="212"/>
      <c r="DY40" s="173"/>
      <c r="DZ40" s="173"/>
      <c r="EA40" s="173"/>
      <c r="EB40" s="173"/>
      <c r="EC40" s="173"/>
      <c r="ED40" s="174"/>
      <c r="EE40" s="256">
        <f t="shared" ref="EE40:EE46" si="359">SUM(DX40:ED40)</f>
        <v>0</v>
      </c>
      <c r="EG40" s="212"/>
      <c r="EH40" s="173"/>
      <c r="EI40" s="173"/>
      <c r="EJ40" s="173"/>
      <c r="EK40" s="173"/>
      <c r="EL40" s="173"/>
      <c r="EM40" s="174"/>
      <c r="EN40" s="256">
        <f t="shared" ref="EN40:EN46" si="360">SUM(EG40:EM40)</f>
        <v>0</v>
      </c>
      <c r="EP40" s="212"/>
      <c r="EQ40" s="173"/>
      <c r="ER40" s="173"/>
      <c r="ES40" s="173"/>
      <c r="ET40" s="173"/>
      <c r="EU40" s="173"/>
      <c r="EV40" s="174"/>
      <c r="EW40" s="256">
        <f t="shared" ref="EW40:EW46" si="361">SUM(EP40:EV40)</f>
        <v>0</v>
      </c>
    </row>
    <row r="41" spans="2:153" ht="15.6" x14ac:dyDescent="0.3">
      <c r="B41" s="801"/>
      <c r="C41" s="513" t="s">
        <v>194</v>
      </c>
      <c r="D41" s="514"/>
      <c r="E41" s="515" t="s">
        <v>294</v>
      </c>
      <c r="F41" s="176" t="s">
        <v>166</v>
      </c>
      <c r="G41" s="177"/>
      <c r="H41" s="166"/>
      <c r="I41" s="173">
        <v>5073.87</v>
      </c>
      <c r="J41" s="173">
        <v>4080.32</v>
      </c>
      <c r="K41" s="173">
        <v>3691.25</v>
      </c>
      <c r="L41" s="173">
        <v>4364.7700000000004</v>
      </c>
      <c r="M41" s="173">
        <v>2548.21</v>
      </c>
      <c r="N41" s="173">
        <v>418.84</v>
      </c>
      <c r="O41" s="174">
        <v>418.44</v>
      </c>
      <c r="P41" s="172"/>
      <c r="Q41" s="175">
        <v>3775.65</v>
      </c>
      <c r="R41" s="173">
        <v>3228.03</v>
      </c>
      <c r="S41" s="173">
        <v>3846.12</v>
      </c>
      <c r="T41" s="173">
        <v>3741.49</v>
      </c>
      <c r="U41" s="173">
        <v>2485.1</v>
      </c>
      <c r="V41" s="173">
        <v>734.98</v>
      </c>
      <c r="W41" s="173">
        <v>369.88</v>
      </c>
      <c r="X41" s="172"/>
      <c r="Y41" s="173">
        <v>2410.62</v>
      </c>
      <c r="Z41" s="173">
        <v>4803.07</v>
      </c>
      <c r="AA41" s="173">
        <v>3724.61</v>
      </c>
      <c r="AB41" s="173">
        <v>3422.83</v>
      </c>
      <c r="AC41" s="173">
        <v>3857.82</v>
      </c>
      <c r="AD41" s="173">
        <v>505.44</v>
      </c>
      <c r="AE41" s="173">
        <v>448</v>
      </c>
      <c r="AG41" s="173">
        <v>4601.1899999999996</v>
      </c>
      <c r="AH41" s="173">
        <v>3726.92</v>
      </c>
      <c r="AI41" s="173">
        <v>4618.04</v>
      </c>
      <c r="AJ41" s="173">
        <v>2679.89</v>
      </c>
      <c r="AK41" s="173">
        <v>449.08</v>
      </c>
      <c r="AL41" s="173">
        <v>335.85</v>
      </c>
      <c r="AM41" s="173">
        <v>256.2</v>
      </c>
      <c r="AO41" s="173">
        <v>267.45999999999998</v>
      </c>
      <c r="AP41" s="173">
        <v>4589.5600000000004</v>
      </c>
      <c r="AQ41" s="173">
        <v>3749.04</v>
      </c>
      <c r="AR41" s="173">
        <v>3918.54</v>
      </c>
      <c r="AS41" s="173">
        <v>762.21</v>
      </c>
      <c r="AT41" s="173">
        <v>411.23</v>
      </c>
      <c r="AU41" s="173">
        <v>387.25</v>
      </c>
      <c r="AW41" s="212"/>
      <c r="AX41" s="173">
        <v>3508.3</v>
      </c>
      <c r="AY41" s="173">
        <v>4528.09</v>
      </c>
      <c r="AZ41" s="173">
        <v>3242.96</v>
      </c>
      <c r="BA41" s="173">
        <v>478.74</v>
      </c>
      <c r="BB41" s="173">
        <v>327.91</v>
      </c>
      <c r="BC41" s="213">
        <v>331.94</v>
      </c>
      <c r="BE41" s="173">
        <v>4831.2299999999996</v>
      </c>
      <c r="BF41" s="173">
        <v>4490.45</v>
      </c>
      <c r="BG41" s="173">
        <v>3705.81</v>
      </c>
      <c r="BH41" s="173">
        <v>3468.28</v>
      </c>
      <c r="BI41" s="173">
        <v>1060.4000000000001</v>
      </c>
      <c r="BJ41" s="173">
        <v>297.95</v>
      </c>
      <c r="BK41" s="173">
        <v>326.36</v>
      </c>
      <c r="BM41" s="212">
        <v>4726.1499999999996</v>
      </c>
      <c r="BN41" s="173">
        <v>2981.39</v>
      </c>
      <c r="BO41" s="173">
        <v>4156.58</v>
      </c>
      <c r="BP41" s="173">
        <v>3202.34</v>
      </c>
      <c r="BQ41" s="173">
        <v>738.59</v>
      </c>
      <c r="BR41" s="173">
        <v>320.04000000000002</v>
      </c>
      <c r="BS41" s="174">
        <v>356.75</v>
      </c>
      <c r="BT41" s="256">
        <f t="shared" si="352"/>
        <v>16481.84</v>
      </c>
      <c r="BV41" s="212">
        <v>4365.38</v>
      </c>
      <c r="BW41" s="173">
        <v>4225.04</v>
      </c>
      <c r="BX41" s="173">
        <v>2770.63</v>
      </c>
      <c r="BY41" s="173">
        <v>3143</v>
      </c>
      <c r="BZ41" s="173">
        <v>1342.62</v>
      </c>
      <c r="CA41" s="173">
        <v>281</v>
      </c>
      <c r="CB41" s="174">
        <v>284.76</v>
      </c>
      <c r="CC41" s="256">
        <f t="shared" si="353"/>
        <v>16412.429999999997</v>
      </c>
      <c r="CE41" s="212">
        <v>3837.7</v>
      </c>
      <c r="CF41" s="173">
        <v>3272.04</v>
      </c>
      <c r="CG41" s="173">
        <v>5231.66</v>
      </c>
      <c r="CH41" s="173">
        <v>3463.51</v>
      </c>
      <c r="CI41" s="173">
        <v>509</v>
      </c>
      <c r="CJ41" s="173">
        <v>391</v>
      </c>
      <c r="CK41" s="174">
        <v>324</v>
      </c>
      <c r="CL41" s="256">
        <f t="shared" si="354"/>
        <v>17028.91</v>
      </c>
      <c r="CN41" s="212">
        <v>359</v>
      </c>
      <c r="CO41" s="173">
        <v>4707.43</v>
      </c>
      <c r="CP41" s="173">
        <f>3616.8+3131.33</f>
        <v>6748.13</v>
      </c>
      <c r="CQ41" s="173">
        <v>3784.94</v>
      </c>
      <c r="CR41" s="173">
        <v>2414.9299999999998</v>
      </c>
      <c r="CS41" s="173">
        <v>458.46</v>
      </c>
      <c r="CT41" s="174">
        <v>426.85</v>
      </c>
      <c r="CU41" s="256">
        <f t="shared" si="355"/>
        <v>18899.739999999998</v>
      </c>
      <c r="CW41" s="212">
        <v>5611.3</v>
      </c>
      <c r="CX41" s="173">
        <v>4495.05</v>
      </c>
      <c r="CY41" s="173">
        <v>4449.12</v>
      </c>
      <c r="CZ41" s="173">
        <v>4881.6499999999996</v>
      </c>
      <c r="DA41" s="173">
        <v>2422.02</v>
      </c>
      <c r="DB41" s="173">
        <v>512.73</v>
      </c>
      <c r="DC41" s="174">
        <v>441</v>
      </c>
      <c r="DD41" s="256">
        <f t="shared" si="356"/>
        <v>22812.870000000003</v>
      </c>
      <c r="DF41" s="212">
        <v>4627.88</v>
      </c>
      <c r="DG41" s="173">
        <v>2243.88</v>
      </c>
      <c r="DH41" s="173">
        <v>3815.12</v>
      </c>
      <c r="DI41" s="173">
        <v>2286.08</v>
      </c>
      <c r="DJ41" s="173"/>
      <c r="DK41" s="173"/>
      <c r="DL41" s="174"/>
      <c r="DM41" s="256">
        <f t="shared" si="357"/>
        <v>12972.960000000001</v>
      </c>
      <c r="DO41" s="212"/>
      <c r="DP41" s="173"/>
      <c r="DQ41" s="173"/>
      <c r="DR41" s="173"/>
      <c r="DS41" s="173">
        <v>0</v>
      </c>
      <c r="DT41" s="173">
        <v>56.09</v>
      </c>
      <c r="DU41" s="174">
        <v>21.43</v>
      </c>
      <c r="DV41" s="256">
        <f t="shared" si="358"/>
        <v>77.52000000000001</v>
      </c>
      <c r="DX41" s="212">
        <v>89.52</v>
      </c>
      <c r="DY41" s="173">
        <v>167.1</v>
      </c>
      <c r="DZ41" s="173">
        <v>5044.9799999999996</v>
      </c>
      <c r="EA41" s="173">
        <v>6774.07</v>
      </c>
      <c r="EB41" s="173"/>
      <c r="EC41" s="173"/>
      <c r="ED41" s="174"/>
      <c r="EE41" s="256">
        <f t="shared" si="359"/>
        <v>12075.669999999998</v>
      </c>
      <c r="EG41" s="212"/>
      <c r="EH41" s="173"/>
      <c r="EI41" s="173"/>
      <c r="EJ41" s="173"/>
      <c r="EK41" s="173"/>
      <c r="EL41" s="173"/>
      <c r="EM41" s="174"/>
      <c r="EN41" s="256">
        <f t="shared" si="360"/>
        <v>0</v>
      </c>
      <c r="EP41" s="212"/>
      <c r="EQ41" s="173"/>
      <c r="ER41" s="173"/>
      <c r="ES41" s="173"/>
      <c r="ET41" s="173"/>
      <c r="EU41" s="173"/>
      <c r="EV41" s="174"/>
      <c r="EW41" s="256">
        <f t="shared" si="361"/>
        <v>0</v>
      </c>
    </row>
    <row r="42" spans="2:153" ht="15.6" x14ac:dyDescent="0.3">
      <c r="B42" s="801"/>
      <c r="C42" s="777" t="s">
        <v>167</v>
      </c>
      <c r="D42" s="778"/>
      <c r="E42" s="515" t="s">
        <v>295</v>
      </c>
      <c r="F42" s="771" t="s">
        <v>88</v>
      </c>
      <c r="G42" s="772"/>
      <c r="H42" s="166"/>
      <c r="I42" s="173">
        <v>99.77</v>
      </c>
      <c r="J42" s="173">
        <v>88.55</v>
      </c>
      <c r="K42" s="173">
        <v>78.63</v>
      </c>
      <c r="L42" s="173">
        <v>77.34</v>
      </c>
      <c r="M42" s="173">
        <v>40.81</v>
      </c>
      <c r="N42" s="173">
        <v>4.74</v>
      </c>
      <c r="O42" s="174">
        <v>6.45</v>
      </c>
      <c r="P42" s="172"/>
      <c r="Q42" s="175">
        <v>80.489999999999995</v>
      </c>
      <c r="R42" s="173">
        <v>71.39</v>
      </c>
      <c r="S42" s="173">
        <v>81.23</v>
      </c>
      <c r="T42" s="173">
        <v>80.52</v>
      </c>
      <c r="U42" s="173">
        <v>42.63</v>
      </c>
      <c r="V42" s="173">
        <v>6.15</v>
      </c>
      <c r="W42" s="173">
        <v>4.21</v>
      </c>
      <c r="X42" s="172"/>
      <c r="Y42" s="173">
        <v>56.57</v>
      </c>
      <c r="Z42" s="173">
        <v>91.92</v>
      </c>
      <c r="AA42" s="173">
        <v>80.87</v>
      </c>
      <c r="AB42" s="173">
        <v>71.680000000000007</v>
      </c>
      <c r="AC42" s="173">
        <v>66.19</v>
      </c>
      <c r="AD42" s="173">
        <v>2.23</v>
      </c>
      <c r="AE42" s="173">
        <v>5.7</v>
      </c>
      <c r="AG42" s="173">
        <v>96.85</v>
      </c>
      <c r="AH42" s="173">
        <v>73.23</v>
      </c>
      <c r="AI42" s="173">
        <v>81.96</v>
      </c>
      <c r="AJ42" s="173">
        <v>47.91</v>
      </c>
      <c r="AK42" s="173">
        <v>9.3699999999999992</v>
      </c>
      <c r="AL42" s="173">
        <v>3.38</v>
      </c>
      <c r="AM42" s="173">
        <v>0.99</v>
      </c>
      <c r="AO42" s="173">
        <v>1.45</v>
      </c>
      <c r="AP42" s="173">
        <v>95.48</v>
      </c>
      <c r="AQ42" s="173">
        <v>76.27</v>
      </c>
      <c r="AR42" s="173">
        <v>83.02</v>
      </c>
      <c r="AS42" s="173">
        <v>14.77</v>
      </c>
      <c r="AT42" s="173">
        <v>2.02</v>
      </c>
      <c r="AU42" s="173">
        <v>2.85</v>
      </c>
      <c r="AW42" s="212"/>
      <c r="AX42" s="173">
        <v>81.38</v>
      </c>
      <c r="AY42" s="173">
        <v>88.75</v>
      </c>
      <c r="AZ42" s="173">
        <v>68.41</v>
      </c>
      <c r="BA42" s="173">
        <v>14.7</v>
      </c>
      <c r="BB42" s="173">
        <v>2.3199999999999998</v>
      </c>
      <c r="BC42" s="213">
        <v>4.25</v>
      </c>
      <c r="BE42" s="173">
        <v>95.42</v>
      </c>
      <c r="BF42" s="173">
        <v>90.03</v>
      </c>
      <c r="BG42" s="173">
        <v>80.08</v>
      </c>
      <c r="BH42" s="173">
        <v>57.42</v>
      </c>
      <c r="BI42" s="173">
        <v>16.82</v>
      </c>
      <c r="BJ42" s="173">
        <v>3.38</v>
      </c>
      <c r="BK42" s="173">
        <v>2.19</v>
      </c>
      <c r="BM42" s="212">
        <v>91.07</v>
      </c>
      <c r="BN42" s="173">
        <v>50.74</v>
      </c>
      <c r="BO42" s="173">
        <v>73.87</v>
      </c>
      <c r="BP42" s="173">
        <v>54.25</v>
      </c>
      <c r="BQ42" s="173">
        <v>6.39</v>
      </c>
      <c r="BR42" s="173">
        <v>1.68</v>
      </c>
      <c r="BS42" s="174">
        <v>2.06</v>
      </c>
      <c r="BT42" s="256">
        <f t="shared" si="352"/>
        <v>280.06</v>
      </c>
      <c r="BV42" s="212">
        <v>82.29</v>
      </c>
      <c r="BW42" s="173">
        <v>70.28</v>
      </c>
      <c r="BX42" s="173">
        <f>47.94-BX46</f>
        <v>42.739999999999995</v>
      </c>
      <c r="BY42" s="173">
        <v>62</v>
      </c>
      <c r="BZ42" s="173">
        <v>18</v>
      </c>
      <c r="CA42" s="173">
        <v>0.15</v>
      </c>
      <c r="CB42" s="174">
        <v>1.85</v>
      </c>
      <c r="CC42" s="256">
        <f t="shared" si="353"/>
        <v>277.31</v>
      </c>
      <c r="CE42" s="212">
        <v>72.52</v>
      </c>
      <c r="CF42" s="173">
        <v>50.14</v>
      </c>
      <c r="CG42" s="173">
        <v>83.56</v>
      </c>
      <c r="CH42" s="173">
        <v>47.2</v>
      </c>
      <c r="CI42" s="173">
        <v>2.34</v>
      </c>
      <c r="CJ42" s="173">
        <v>0.72</v>
      </c>
      <c r="CK42" s="174">
        <v>0</v>
      </c>
      <c r="CL42" s="256">
        <f t="shared" si="354"/>
        <v>256.48</v>
      </c>
      <c r="CN42" s="212">
        <v>3.68</v>
      </c>
      <c r="CO42" s="173">
        <v>79.11</v>
      </c>
      <c r="CP42" s="173">
        <v>57.7</v>
      </c>
      <c r="CQ42" s="173">
        <v>60.04</v>
      </c>
      <c r="CR42" s="173">
        <v>38.049999999999997</v>
      </c>
      <c r="CS42" s="173">
        <v>0.2</v>
      </c>
      <c r="CT42" s="174">
        <v>1.88</v>
      </c>
      <c r="CU42" s="256">
        <f t="shared" si="355"/>
        <v>240.65999999999997</v>
      </c>
      <c r="CW42" s="212">
        <v>98.05</v>
      </c>
      <c r="CX42" s="173">
        <v>74.930000000000007</v>
      </c>
      <c r="CY42" s="173">
        <v>72.319999999999993</v>
      </c>
      <c r="CZ42" s="173">
        <v>80.67</v>
      </c>
      <c r="DA42" s="173">
        <v>40.82</v>
      </c>
      <c r="DB42" s="173">
        <v>2.82</v>
      </c>
      <c r="DC42" s="174">
        <v>1.74</v>
      </c>
      <c r="DD42" s="256">
        <f t="shared" si="356"/>
        <v>371.35</v>
      </c>
      <c r="DF42" s="212">
        <v>78.37</v>
      </c>
      <c r="DG42" s="173">
        <v>35.67</v>
      </c>
      <c r="DH42" s="173">
        <v>57.44</v>
      </c>
      <c r="DI42" s="173">
        <v>29.8</v>
      </c>
      <c r="DJ42" s="173"/>
      <c r="DK42" s="173"/>
      <c r="DL42" s="174"/>
      <c r="DM42" s="256">
        <f t="shared" si="357"/>
        <v>201.28000000000003</v>
      </c>
      <c r="DO42" s="212"/>
      <c r="DP42" s="173"/>
      <c r="DQ42" s="173"/>
      <c r="DR42" s="173"/>
      <c r="DS42" s="173">
        <v>0</v>
      </c>
      <c r="DT42" s="173">
        <v>1.1299999999999999</v>
      </c>
      <c r="DU42" s="174">
        <v>0.38</v>
      </c>
      <c r="DV42" s="256">
        <f t="shared" si="358"/>
        <v>1.5099999999999998</v>
      </c>
      <c r="DX42" s="212">
        <v>0.27</v>
      </c>
      <c r="DY42" s="173">
        <v>5.12</v>
      </c>
      <c r="DZ42" s="173">
        <v>84.98</v>
      </c>
      <c r="EA42" s="173">
        <v>101.71</v>
      </c>
      <c r="EB42" s="173"/>
      <c r="EC42" s="173"/>
      <c r="ED42" s="174"/>
      <c r="EE42" s="256">
        <f t="shared" si="359"/>
        <v>192.07999999999998</v>
      </c>
      <c r="EG42" s="212"/>
      <c r="EH42" s="173"/>
      <c r="EI42" s="173"/>
      <c r="EJ42" s="173"/>
      <c r="EK42" s="173"/>
      <c r="EL42" s="173"/>
      <c r="EM42" s="174"/>
      <c r="EN42" s="256">
        <f t="shared" si="360"/>
        <v>0</v>
      </c>
      <c r="EP42" s="212"/>
      <c r="EQ42" s="173"/>
      <c r="ER42" s="173"/>
      <c r="ES42" s="173"/>
      <c r="ET42" s="173"/>
      <c r="EU42" s="173"/>
      <c r="EV42" s="174"/>
      <c r="EW42" s="256">
        <f t="shared" si="361"/>
        <v>0</v>
      </c>
    </row>
    <row r="43" spans="2:153" ht="15.6" x14ac:dyDescent="0.3">
      <c r="B43" s="801"/>
      <c r="C43" s="777" t="s">
        <v>168</v>
      </c>
      <c r="D43" s="778"/>
      <c r="E43" s="515" t="s">
        <v>296</v>
      </c>
      <c r="F43" s="771" t="s">
        <v>119</v>
      </c>
      <c r="G43" s="772"/>
      <c r="H43" s="166"/>
      <c r="I43" s="173">
        <v>60.53</v>
      </c>
      <c r="J43" s="173">
        <v>49.92</v>
      </c>
      <c r="K43" s="173">
        <v>50.97</v>
      </c>
      <c r="L43" s="173">
        <v>49.7</v>
      </c>
      <c r="M43" s="173">
        <v>34.159999999999997</v>
      </c>
      <c r="N43" s="173">
        <v>14.53</v>
      </c>
      <c r="O43" s="174">
        <v>5.36</v>
      </c>
      <c r="P43" s="172"/>
      <c r="Q43" s="175">
        <v>52.72</v>
      </c>
      <c r="R43" s="173">
        <v>49.47</v>
      </c>
      <c r="S43" s="173">
        <v>51.13</v>
      </c>
      <c r="T43" s="173">
        <v>45.77</v>
      </c>
      <c r="U43" s="173">
        <v>35.950000000000003</v>
      </c>
      <c r="V43" s="173">
        <v>12.41</v>
      </c>
      <c r="W43" s="173">
        <v>8.5</v>
      </c>
      <c r="X43" s="172"/>
      <c r="Y43" s="173">
        <v>41.59</v>
      </c>
      <c r="Z43" s="173">
        <v>46.29</v>
      </c>
      <c r="AA43" s="173">
        <v>58.93</v>
      </c>
      <c r="AB43" s="173">
        <v>56.22</v>
      </c>
      <c r="AC43" s="173">
        <v>44.65</v>
      </c>
      <c r="AD43" s="173">
        <v>18.010000000000002</v>
      </c>
      <c r="AE43" s="173">
        <v>8.77</v>
      </c>
      <c r="AG43" s="173">
        <v>55.72</v>
      </c>
      <c r="AH43" s="173">
        <v>48.42</v>
      </c>
      <c r="AI43" s="173">
        <v>61.7</v>
      </c>
      <c r="AJ43" s="173">
        <v>37.18</v>
      </c>
      <c r="AK43" s="173">
        <v>19.89</v>
      </c>
      <c r="AL43" s="173">
        <v>8.41</v>
      </c>
      <c r="AM43" s="173">
        <v>4.13</v>
      </c>
      <c r="AO43" s="173">
        <v>4.3499999999999996</v>
      </c>
      <c r="AP43" s="173">
        <v>74.7</v>
      </c>
      <c r="AQ43" s="173">
        <v>47.14</v>
      </c>
      <c r="AR43" s="173">
        <v>47.48</v>
      </c>
      <c r="AS43" s="173">
        <v>25.3</v>
      </c>
      <c r="AT43" s="173">
        <v>7.82</v>
      </c>
      <c r="AU43" s="173">
        <v>3.14</v>
      </c>
      <c r="AW43" s="212">
        <v>40.200000000000003</v>
      </c>
      <c r="AX43" s="173">
        <v>40.409999999999997</v>
      </c>
      <c r="AY43" s="173">
        <v>47.16</v>
      </c>
      <c r="AZ43" s="173">
        <v>39.1</v>
      </c>
      <c r="BA43" s="173">
        <v>22.79</v>
      </c>
      <c r="BB43" s="173">
        <v>6.94</v>
      </c>
      <c r="BC43" s="213">
        <v>4.38</v>
      </c>
      <c r="BE43" s="173">
        <v>62.01</v>
      </c>
      <c r="BF43" s="173">
        <v>51.15</v>
      </c>
      <c r="BG43" s="173">
        <v>47.56</v>
      </c>
      <c r="BH43" s="173">
        <v>49.2</v>
      </c>
      <c r="BI43" s="173">
        <v>27.8</v>
      </c>
      <c r="BJ43" s="173">
        <v>14.38</v>
      </c>
      <c r="BK43" s="173">
        <v>5.29</v>
      </c>
      <c r="BM43" s="212">
        <v>58.91</v>
      </c>
      <c r="BN43" s="173">
        <v>48.65</v>
      </c>
      <c r="BO43" s="173">
        <v>51.2</v>
      </c>
      <c r="BP43" s="173">
        <v>42.09</v>
      </c>
      <c r="BQ43" s="173">
        <v>19.48</v>
      </c>
      <c r="BR43" s="173">
        <v>5.03</v>
      </c>
      <c r="BS43" s="174">
        <v>4.08</v>
      </c>
      <c r="BT43" s="256">
        <f t="shared" si="352"/>
        <v>229.44</v>
      </c>
      <c r="BV43" s="212">
        <v>59.25</v>
      </c>
      <c r="BW43" s="173">
        <v>49.48</v>
      </c>
      <c r="BX43" s="173">
        <v>43.17</v>
      </c>
      <c r="BY43" s="173">
        <v>49.66</v>
      </c>
      <c r="BZ43" s="173">
        <v>23.03</v>
      </c>
      <c r="CA43" s="173">
        <v>4.91</v>
      </c>
      <c r="CB43" s="174">
        <v>2.79</v>
      </c>
      <c r="CC43" s="256">
        <f t="shared" si="353"/>
        <v>232.28999999999996</v>
      </c>
      <c r="CE43" s="212">
        <v>44.8</v>
      </c>
      <c r="CF43" s="173">
        <v>41.71</v>
      </c>
      <c r="CG43" s="173">
        <v>54.73</v>
      </c>
      <c r="CH43" s="173">
        <v>36.57</v>
      </c>
      <c r="CI43" s="173">
        <v>15.65</v>
      </c>
      <c r="CJ43" s="173">
        <v>4.47</v>
      </c>
      <c r="CK43" s="174">
        <v>2.88</v>
      </c>
      <c r="CL43" s="256">
        <f t="shared" si="354"/>
        <v>200.80999999999997</v>
      </c>
      <c r="CN43" s="212">
        <v>2.59</v>
      </c>
      <c r="CO43" s="173">
        <v>52.57</v>
      </c>
      <c r="CP43" s="173">
        <v>38.5</v>
      </c>
      <c r="CQ43" s="173">
        <v>50.79</v>
      </c>
      <c r="CR43" s="173">
        <v>38.270000000000003</v>
      </c>
      <c r="CS43" s="173">
        <v>4.37</v>
      </c>
      <c r="CT43" s="174">
        <v>2.27</v>
      </c>
      <c r="CU43" s="256">
        <f t="shared" si="355"/>
        <v>189.36</v>
      </c>
      <c r="CW43" s="212">
        <v>62.7</v>
      </c>
      <c r="CX43" s="173">
        <v>56.23</v>
      </c>
      <c r="CY43" s="173">
        <v>57.86</v>
      </c>
      <c r="CZ43" s="173">
        <v>59.09</v>
      </c>
      <c r="DA43" s="173">
        <v>29.27</v>
      </c>
      <c r="DB43" s="173">
        <v>12.48</v>
      </c>
      <c r="DC43" s="174">
        <v>5.6</v>
      </c>
      <c r="DD43" s="256">
        <f t="shared" si="356"/>
        <v>283.23000000000008</v>
      </c>
      <c r="DF43" s="212">
        <v>65.66</v>
      </c>
      <c r="DG43" s="173">
        <v>34.450000000000003</v>
      </c>
      <c r="DH43" s="173">
        <v>39.200000000000003</v>
      </c>
      <c r="DI43" s="173">
        <v>28.01</v>
      </c>
      <c r="DJ43" s="173"/>
      <c r="DK43" s="173"/>
      <c r="DL43" s="174"/>
      <c r="DM43" s="256">
        <f t="shared" si="357"/>
        <v>167.32</v>
      </c>
      <c r="DO43" s="212"/>
      <c r="DP43" s="173"/>
      <c r="DQ43" s="173"/>
      <c r="DR43" s="173"/>
      <c r="DS43" s="173">
        <v>0</v>
      </c>
      <c r="DT43" s="173">
        <v>8.1199999999999992</v>
      </c>
      <c r="DU43" s="174">
        <v>5.51</v>
      </c>
      <c r="DV43" s="256">
        <f t="shared" si="358"/>
        <v>13.629999999999999</v>
      </c>
      <c r="DX43" s="212">
        <v>19.100000000000001</v>
      </c>
      <c r="DY43" s="173">
        <v>23.46</v>
      </c>
      <c r="DZ43" s="173">
        <v>59.27</v>
      </c>
      <c r="EA43" s="173">
        <v>74.709999999999994</v>
      </c>
      <c r="EB43" s="173"/>
      <c r="EC43" s="173"/>
      <c r="ED43" s="174"/>
      <c r="EE43" s="256">
        <f t="shared" si="359"/>
        <v>176.54000000000002</v>
      </c>
      <c r="EG43" s="212"/>
      <c r="EH43" s="173"/>
      <c r="EI43" s="173"/>
      <c r="EJ43" s="173"/>
      <c r="EK43" s="173"/>
      <c r="EL43" s="173"/>
      <c r="EM43" s="174"/>
      <c r="EN43" s="256">
        <f t="shared" si="360"/>
        <v>0</v>
      </c>
      <c r="EP43" s="212"/>
      <c r="EQ43" s="173"/>
      <c r="ER43" s="173"/>
      <c r="ES43" s="173"/>
      <c r="ET43" s="173"/>
      <c r="EU43" s="173"/>
      <c r="EV43" s="174"/>
      <c r="EW43" s="256">
        <f t="shared" si="361"/>
        <v>0</v>
      </c>
    </row>
    <row r="44" spans="2:153" ht="15.6" x14ac:dyDescent="0.3">
      <c r="B44" s="801"/>
      <c r="C44" s="513" t="s">
        <v>169</v>
      </c>
      <c r="D44" s="514"/>
      <c r="E44" s="515" t="s">
        <v>302</v>
      </c>
      <c r="F44" s="179" t="s">
        <v>133</v>
      </c>
      <c r="G44" s="180"/>
      <c r="H44" s="166"/>
      <c r="I44" s="173">
        <v>22583.46</v>
      </c>
      <c r="J44" s="173">
        <v>22510.43</v>
      </c>
      <c r="K44" s="173">
        <v>22476.16</v>
      </c>
      <c r="L44" s="173">
        <v>21472.86</v>
      </c>
      <c r="M44" s="173">
        <v>16040.19</v>
      </c>
      <c r="N44" s="173">
        <v>11565.12</v>
      </c>
      <c r="O44" s="174">
        <v>9541.9500000000007</v>
      </c>
      <c r="P44" s="172"/>
      <c r="Q44" s="175">
        <v>20768.38</v>
      </c>
      <c r="R44" s="173">
        <v>21270.59</v>
      </c>
      <c r="S44" s="173">
        <v>22435.39</v>
      </c>
      <c r="T44" s="173">
        <v>21333.759999999998</v>
      </c>
      <c r="U44" s="173">
        <v>17450.939999999999</v>
      </c>
      <c r="V44" s="173">
        <v>11572.06</v>
      </c>
      <c r="W44" s="173">
        <v>10183.94</v>
      </c>
      <c r="X44" s="172"/>
      <c r="Y44" s="173">
        <v>18956.22</v>
      </c>
      <c r="Z44" s="173">
        <v>23336.1</v>
      </c>
      <c r="AA44" s="173">
        <v>23680.83</v>
      </c>
      <c r="AB44" s="173">
        <v>20728.509999999998</v>
      </c>
      <c r="AC44" s="173">
        <v>18460.29</v>
      </c>
      <c r="AD44" s="173">
        <v>10386.66</v>
      </c>
      <c r="AE44" s="173">
        <v>9841.89</v>
      </c>
      <c r="AG44" s="173">
        <v>22588.61</v>
      </c>
      <c r="AH44" s="173">
        <v>21893.09</v>
      </c>
      <c r="AI44" s="173">
        <v>20831.099999999999</v>
      </c>
      <c r="AJ44" s="173">
        <v>17181.919999999998</v>
      </c>
      <c r="AK44" s="173">
        <v>11478.88</v>
      </c>
      <c r="AL44" s="173">
        <v>9089.25</v>
      </c>
      <c r="AM44" s="173">
        <v>7623.39</v>
      </c>
      <c r="AO44" s="173">
        <v>7420</v>
      </c>
      <c r="AP44" s="173">
        <v>22331.9</v>
      </c>
      <c r="AQ44" s="173">
        <v>22104.54</v>
      </c>
      <c r="AR44" s="173">
        <v>21557.98</v>
      </c>
      <c r="AS44" s="173">
        <v>26250.85</v>
      </c>
      <c r="AT44" s="173">
        <v>18581.54</v>
      </c>
      <c r="AU44" s="173">
        <v>19584.29</v>
      </c>
      <c r="AW44" s="212">
        <v>14213.34</v>
      </c>
      <c r="AX44" s="173">
        <v>22516.15</v>
      </c>
      <c r="AY44" s="173">
        <v>24220.22</v>
      </c>
      <c r="AZ44" s="173">
        <v>20575.14</v>
      </c>
      <c r="BA44" s="173">
        <v>16788.689999999999</v>
      </c>
      <c r="BB44" s="173">
        <v>10217.16</v>
      </c>
      <c r="BC44" s="213">
        <v>7814.12</v>
      </c>
      <c r="BE44" s="173">
        <v>23948.41</v>
      </c>
      <c r="BF44" s="173">
        <v>23271.64</v>
      </c>
      <c r="BG44" s="173">
        <v>23349.02</v>
      </c>
      <c r="BH44" s="173">
        <v>21562.45</v>
      </c>
      <c r="BI44" s="173">
        <v>12545.72</v>
      </c>
      <c r="BJ44" s="173">
        <v>9113</v>
      </c>
      <c r="BK44" s="173">
        <v>8095.4</v>
      </c>
      <c r="BM44" s="212">
        <v>19719.54</v>
      </c>
      <c r="BN44" s="173">
        <v>17310.77</v>
      </c>
      <c r="BO44" s="173">
        <v>18435.810000000001</v>
      </c>
      <c r="BP44" s="173">
        <v>17517.22</v>
      </c>
      <c r="BQ44" s="173">
        <v>13170.46</v>
      </c>
      <c r="BR44" s="173">
        <v>14881.51</v>
      </c>
      <c r="BS44" s="174">
        <v>7678.59</v>
      </c>
      <c r="BT44" s="256">
        <f t="shared" si="352"/>
        <v>108713.89999999998</v>
      </c>
      <c r="BV44" s="212">
        <v>22899.06</v>
      </c>
      <c r="BW44" s="173">
        <v>23347.63</v>
      </c>
      <c r="BX44" s="173">
        <f>18385.84</f>
        <v>18385.84</v>
      </c>
      <c r="BY44" s="173">
        <v>19827.64</v>
      </c>
      <c r="BZ44" s="173">
        <v>14310.17</v>
      </c>
      <c r="CA44" s="173">
        <v>9950.4699999999993</v>
      </c>
      <c r="CB44" s="174">
        <v>10036.91</v>
      </c>
      <c r="CC44" s="256">
        <f t="shared" si="353"/>
        <v>118757.72</v>
      </c>
      <c r="CE44" s="212"/>
      <c r="CF44" s="173">
        <v>20806.73</v>
      </c>
      <c r="CG44" s="173">
        <v>24972.63</v>
      </c>
      <c r="CH44" s="173">
        <v>21370.28</v>
      </c>
      <c r="CI44" s="173">
        <v>13364</v>
      </c>
      <c r="CJ44" s="173">
        <v>9210</v>
      </c>
      <c r="CK44" s="174">
        <v>7348</v>
      </c>
      <c r="CL44" s="256">
        <f t="shared" si="354"/>
        <v>97071.64</v>
      </c>
      <c r="CN44" s="212">
        <v>8010</v>
      </c>
      <c r="CO44" s="173">
        <v>23023.07</v>
      </c>
      <c r="CP44" s="173">
        <v>17584.48</v>
      </c>
      <c r="CQ44" s="173">
        <v>23701.83</v>
      </c>
      <c r="CR44" s="173">
        <v>17813.32</v>
      </c>
      <c r="CS44" s="173">
        <v>12705.37</v>
      </c>
      <c r="CT44" s="174">
        <v>10201.94</v>
      </c>
      <c r="CU44" s="256">
        <f t="shared" si="355"/>
        <v>113040.01000000001</v>
      </c>
      <c r="CW44" s="212">
        <v>25218.79</v>
      </c>
      <c r="CX44" s="173">
        <v>17584.48</v>
      </c>
      <c r="CY44" s="173">
        <v>26102.43</v>
      </c>
      <c r="CZ44" s="173">
        <v>22915</v>
      </c>
      <c r="DA44" s="173">
        <v>15301.68</v>
      </c>
      <c r="DB44" s="173">
        <v>11270.28</v>
      </c>
      <c r="DC44" s="174">
        <v>10633.91</v>
      </c>
      <c r="DD44" s="256">
        <f t="shared" si="356"/>
        <v>129026.57</v>
      </c>
      <c r="DF44" s="212">
        <v>23080.99</v>
      </c>
      <c r="DG44" s="173">
        <v>20281.189999999999</v>
      </c>
      <c r="DH44" s="173">
        <v>21178.38</v>
      </c>
      <c r="DI44" s="173">
        <v>17821.310000000001</v>
      </c>
      <c r="DJ44" s="173"/>
      <c r="DK44" s="173"/>
      <c r="DL44" s="174"/>
      <c r="DM44" s="256">
        <f t="shared" si="357"/>
        <v>82361.87</v>
      </c>
      <c r="DO44" s="212"/>
      <c r="DP44" s="173"/>
      <c r="DQ44" s="173"/>
      <c r="DR44" s="173"/>
      <c r="DS44" s="173">
        <v>38</v>
      </c>
      <c r="DT44" s="173">
        <v>0</v>
      </c>
      <c r="DU44" s="174">
        <v>0</v>
      </c>
      <c r="DV44" s="256">
        <f t="shared" si="358"/>
        <v>38</v>
      </c>
      <c r="DX44" s="212">
        <v>7201.1</v>
      </c>
      <c r="DY44" s="173">
        <v>9178.26</v>
      </c>
      <c r="DZ44" s="173">
        <v>20116.900000000001</v>
      </c>
      <c r="EA44" s="173">
        <v>22872.65</v>
      </c>
      <c r="EB44" s="173"/>
      <c r="EC44" s="173"/>
      <c r="ED44" s="174"/>
      <c r="EE44" s="256">
        <f t="shared" si="359"/>
        <v>59368.91</v>
      </c>
      <c r="EG44" s="212"/>
      <c r="EH44" s="173"/>
      <c r="EI44" s="173"/>
      <c r="EJ44" s="173"/>
      <c r="EK44" s="173"/>
      <c r="EL44" s="173"/>
      <c r="EM44" s="174"/>
      <c r="EN44" s="256">
        <f t="shared" si="360"/>
        <v>0</v>
      </c>
      <c r="EP44" s="212"/>
      <c r="EQ44" s="173"/>
      <c r="ER44" s="173"/>
      <c r="ES44" s="173"/>
      <c r="ET44" s="173"/>
      <c r="EU44" s="173"/>
      <c r="EV44" s="174"/>
      <c r="EW44" s="256">
        <f t="shared" si="361"/>
        <v>0</v>
      </c>
    </row>
    <row r="45" spans="2:153" ht="15.6" x14ac:dyDescent="0.3">
      <c r="B45" s="801"/>
      <c r="C45" s="467" t="s">
        <v>75</v>
      </c>
      <c r="D45" s="468"/>
      <c r="E45" s="518" t="s">
        <v>323</v>
      </c>
      <c r="F45" s="179" t="s">
        <v>119</v>
      </c>
      <c r="G45" s="180"/>
      <c r="H45" s="166"/>
      <c r="I45" s="173">
        <v>0.88</v>
      </c>
      <c r="J45" s="173">
        <v>1.54</v>
      </c>
      <c r="K45" s="173">
        <v>1.95</v>
      </c>
      <c r="L45" s="173">
        <v>4.0599999999999996</v>
      </c>
      <c r="M45" s="173">
        <v>0.79</v>
      </c>
      <c r="N45" s="173">
        <v>0.44</v>
      </c>
      <c r="O45" s="174">
        <v>0.26</v>
      </c>
      <c r="P45" s="172"/>
      <c r="Q45" s="175">
        <v>1.45</v>
      </c>
      <c r="R45" s="173">
        <v>0.69</v>
      </c>
      <c r="S45" s="173">
        <v>1.46</v>
      </c>
      <c r="T45" s="173">
        <v>0</v>
      </c>
      <c r="U45" s="173"/>
      <c r="V45" s="173">
        <v>0.71</v>
      </c>
      <c r="W45" s="173">
        <v>0.41</v>
      </c>
      <c r="X45" s="172"/>
      <c r="Y45" s="173">
        <v>1.48</v>
      </c>
      <c r="Z45" s="173">
        <v>2.44</v>
      </c>
      <c r="AA45" s="173">
        <v>1.46</v>
      </c>
      <c r="AB45" s="173">
        <v>4.5</v>
      </c>
      <c r="AC45" s="173">
        <v>0.52</v>
      </c>
      <c r="AD45" s="173">
        <v>7.0000000000000007E-2</v>
      </c>
      <c r="AE45" s="173">
        <v>0.05</v>
      </c>
      <c r="AG45" s="173">
        <v>1.1599999999999999</v>
      </c>
      <c r="AH45" s="173">
        <v>1.87</v>
      </c>
      <c r="AI45" s="173">
        <v>10.119999999999999</v>
      </c>
      <c r="AJ45" s="173">
        <v>3.41</v>
      </c>
      <c r="AK45" s="173">
        <v>1.97</v>
      </c>
      <c r="AL45" s="173">
        <v>2.2599999999999998</v>
      </c>
      <c r="AM45" s="173">
        <v>1.62</v>
      </c>
      <c r="AO45" s="173">
        <v>1.97</v>
      </c>
      <c r="AP45" s="173">
        <v>21.51</v>
      </c>
      <c r="AQ45" s="173">
        <v>4.34</v>
      </c>
      <c r="AR45" s="173">
        <v>2113.38</v>
      </c>
      <c r="AS45" s="173">
        <v>5.17</v>
      </c>
      <c r="AT45" s="173">
        <v>2.87</v>
      </c>
      <c r="AU45" s="173">
        <v>1.05</v>
      </c>
      <c r="AW45" s="212">
        <v>4.2</v>
      </c>
      <c r="AX45" s="173">
        <v>2.69</v>
      </c>
      <c r="AY45" s="173">
        <v>2.06</v>
      </c>
      <c r="AZ45" s="173">
        <v>4.76</v>
      </c>
      <c r="BA45" s="173">
        <v>2.92</v>
      </c>
      <c r="BB45" s="173">
        <v>0.19</v>
      </c>
      <c r="BC45" s="213">
        <v>0.16</v>
      </c>
      <c r="BE45" s="173">
        <v>1.01</v>
      </c>
      <c r="BF45" s="173">
        <v>1.26</v>
      </c>
      <c r="BG45" s="173">
        <v>2.12</v>
      </c>
      <c r="BH45" s="173">
        <v>5.73</v>
      </c>
      <c r="BI45" s="173">
        <v>10.19</v>
      </c>
      <c r="BJ45" s="173">
        <v>12.65</v>
      </c>
      <c r="BK45" s="173">
        <v>5.33</v>
      </c>
      <c r="BM45" s="212">
        <v>3.12</v>
      </c>
      <c r="BN45" s="173">
        <v>1.54</v>
      </c>
      <c r="BO45" s="173">
        <v>1.86</v>
      </c>
      <c r="BP45" s="173">
        <v>1.43</v>
      </c>
      <c r="BQ45" s="173">
        <v>0.99</v>
      </c>
      <c r="BR45" s="173">
        <v>0.43</v>
      </c>
      <c r="BS45" s="174">
        <v>0.93</v>
      </c>
      <c r="BT45" s="256">
        <f t="shared" si="352"/>
        <v>10.299999999999999</v>
      </c>
      <c r="BV45" s="212"/>
      <c r="BW45" s="173"/>
      <c r="BX45" s="173">
        <v>5.97</v>
      </c>
      <c r="BY45" s="173">
        <v>1.33</v>
      </c>
      <c r="BZ45" s="173">
        <v>1.1000000000000001</v>
      </c>
      <c r="CA45" s="173">
        <v>0.44</v>
      </c>
      <c r="CB45" s="174">
        <v>0.03</v>
      </c>
      <c r="CC45" s="256">
        <f t="shared" si="353"/>
        <v>8.8699999999999992</v>
      </c>
      <c r="CE45" s="212">
        <v>1.53</v>
      </c>
      <c r="CF45" s="173">
        <v>2.2200000000000002</v>
      </c>
      <c r="CG45" s="173">
        <v>0.93</v>
      </c>
      <c r="CH45" s="173">
        <v>2.88</v>
      </c>
      <c r="CI45" s="173">
        <v>3.79</v>
      </c>
      <c r="CJ45" s="173">
        <v>0.16</v>
      </c>
      <c r="CK45" s="174">
        <v>0.49</v>
      </c>
      <c r="CL45" s="256">
        <f t="shared" si="354"/>
        <v>12</v>
      </c>
      <c r="CN45" s="212">
        <v>0.22</v>
      </c>
      <c r="CO45" s="173">
        <v>0.89</v>
      </c>
      <c r="CP45" s="173">
        <v>0.42</v>
      </c>
      <c r="CQ45" s="173">
        <v>1.27</v>
      </c>
      <c r="CR45" s="173">
        <v>3.22</v>
      </c>
      <c r="CS45" s="173">
        <v>0.35</v>
      </c>
      <c r="CT45" s="174">
        <v>0.08</v>
      </c>
      <c r="CU45" s="256">
        <f t="shared" si="355"/>
        <v>6.4499999999999993</v>
      </c>
      <c r="CW45" s="212">
        <v>0.64</v>
      </c>
      <c r="CX45" s="173">
        <v>0.63</v>
      </c>
      <c r="CY45" s="173">
        <v>1.0900000000000001</v>
      </c>
      <c r="CZ45" s="173">
        <v>8.4600000000000009</v>
      </c>
      <c r="DA45" s="173">
        <v>2.12</v>
      </c>
      <c r="DB45" s="173">
        <v>0.27</v>
      </c>
      <c r="DC45" s="174">
        <v>0.23</v>
      </c>
      <c r="DD45" s="256">
        <f t="shared" si="356"/>
        <v>13.440000000000001</v>
      </c>
      <c r="DF45" s="212">
        <v>1.58</v>
      </c>
      <c r="DG45" s="173">
        <v>1.17</v>
      </c>
      <c r="DH45" s="173">
        <v>3</v>
      </c>
      <c r="DI45" s="173">
        <v>0.45</v>
      </c>
      <c r="DJ45" s="173"/>
      <c r="DK45" s="173"/>
      <c r="DL45" s="174"/>
      <c r="DM45" s="256">
        <f t="shared" si="357"/>
        <v>6.2</v>
      </c>
      <c r="DO45" s="212"/>
      <c r="DP45" s="173"/>
      <c r="DQ45" s="173"/>
      <c r="DR45" s="173"/>
      <c r="DS45" s="173">
        <v>0.48</v>
      </c>
      <c r="DT45" s="173">
        <v>0.45</v>
      </c>
      <c r="DU45" s="174">
        <v>0.66</v>
      </c>
      <c r="DV45" s="256">
        <f t="shared" si="358"/>
        <v>1.5899999999999999</v>
      </c>
      <c r="DX45" s="212">
        <v>0.74</v>
      </c>
      <c r="DY45" s="173">
        <v>0.94</v>
      </c>
      <c r="DZ45" s="173">
        <v>1.43</v>
      </c>
      <c r="EA45" s="173">
        <v>0.44</v>
      </c>
      <c r="EB45" s="173"/>
      <c r="EC45" s="173"/>
      <c r="ED45" s="174"/>
      <c r="EE45" s="256">
        <f t="shared" si="359"/>
        <v>3.55</v>
      </c>
      <c r="EG45" s="212"/>
      <c r="EH45" s="173"/>
      <c r="EI45" s="173"/>
      <c r="EJ45" s="173"/>
      <c r="EK45" s="173"/>
      <c r="EL45" s="173"/>
      <c r="EM45" s="174"/>
      <c r="EN45" s="256">
        <f t="shared" si="360"/>
        <v>0</v>
      </c>
      <c r="EP45" s="212"/>
      <c r="EQ45" s="173"/>
      <c r="ER45" s="173"/>
      <c r="ES45" s="173"/>
      <c r="ET45" s="173"/>
      <c r="EU45" s="173"/>
      <c r="EV45" s="174"/>
      <c r="EW45" s="256">
        <f t="shared" si="361"/>
        <v>0</v>
      </c>
    </row>
    <row r="46" spans="2:153" ht="16.2" thickBot="1" x14ac:dyDescent="0.35">
      <c r="B46" s="801"/>
      <c r="C46" s="467" t="s">
        <v>77</v>
      </c>
      <c r="D46" s="468"/>
      <c r="E46" s="518" t="s">
        <v>324</v>
      </c>
      <c r="F46" s="179" t="s">
        <v>95</v>
      </c>
      <c r="G46" s="180"/>
      <c r="H46" s="166"/>
      <c r="I46" s="173"/>
      <c r="J46" s="173"/>
      <c r="K46" s="173"/>
      <c r="L46" s="173"/>
      <c r="M46" s="173"/>
      <c r="N46" s="173"/>
      <c r="O46" s="174"/>
      <c r="P46" s="172"/>
      <c r="Q46" s="175"/>
      <c r="R46" s="173"/>
      <c r="S46" s="173"/>
      <c r="T46" s="173"/>
      <c r="U46" s="173"/>
      <c r="V46" s="173"/>
      <c r="W46" s="173"/>
      <c r="X46" s="172"/>
      <c r="Y46" s="173"/>
      <c r="Z46" s="173"/>
      <c r="AA46" s="173"/>
      <c r="AB46" s="173"/>
      <c r="AC46" s="173"/>
      <c r="AD46" s="173"/>
      <c r="AE46" s="173"/>
      <c r="AG46" s="173">
        <v>14.57</v>
      </c>
      <c r="AH46" s="173">
        <v>20.32</v>
      </c>
      <c r="AI46" s="173">
        <v>10.5</v>
      </c>
      <c r="AJ46" s="173">
        <v>5.18</v>
      </c>
      <c r="AK46" s="173">
        <v>0</v>
      </c>
      <c r="AL46" s="173">
        <v>0</v>
      </c>
      <c r="AM46" s="173">
        <v>0</v>
      </c>
      <c r="AO46" s="173">
        <v>0</v>
      </c>
      <c r="AP46" s="173">
        <v>15.83</v>
      </c>
      <c r="AQ46" s="173">
        <v>18.829999999999998</v>
      </c>
      <c r="AR46" s="173">
        <v>20.18</v>
      </c>
      <c r="AS46" s="173">
        <v>1.92</v>
      </c>
      <c r="AT46" s="173">
        <v>0</v>
      </c>
      <c r="AU46" s="173">
        <v>0.28999999999999998</v>
      </c>
      <c r="AW46" s="212"/>
      <c r="AX46" s="173">
        <v>15.87</v>
      </c>
      <c r="AY46" s="173">
        <v>17.329999999999998</v>
      </c>
      <c r="AZ46" s="173">
        <v>16.399999999999999</v>
      </c>
      <c r="BA46" s="173">
        <v>11.12</v>
      </c>
      <c r="BB46" s="173">
        <v>1.62</v>
      </c>
      <c r="BC46" s="213">
        <v>1.3</v>
      </c>
      <c r="BE46" s="173">
        <v>13.68</v>
      </c>
      <c r="BF46" s="173">
        <v>17.46</v>
      </c>
      <c r="BG46" s="173">
        <v>17.96</v>
      </c>
      <c r="BH46" s="173">
        <v>10.029999999999999</v>
      </c>
      <c r="BI46" s="173">
        <v>0</v>
      </c>
      <c r="BJ46" s="173">
        <v>0</v>
      </c>
      <c r="BK46" s="173">
        <v>0.56999999999999995</v>
      </c>
      <c r="BM46" s="212">
        <v>4.6100000000000003</v>
      </c>
      <c r="BN46" s="173">
        <v>5.08</v>
      </c>
      <c r="BO46" s="173">
        <v>5.25</v>
      </c>
      <c r="BP46" s="173">
        <v>4.87</v>
      </c>
      <c r="BQ46" s="173">
        <v>4.01</v>
      </c>
      <c r="BR46" s="173">
        <v>0.82</v>
      </c>
      <c r="BS46" s="174">
        <v>0.45</v>
      </c>
      <c r="BT46" s="257">
        <f t="shared" si="352"/>
        <v>25.09</v>
      </c>
      <c r="BV46" s="212"/>
      <c r="BW46" s="173"/>
      <c r="BX46" s="173">
        <v>5.2</v>
      </c>
      <c r="BY46" s="173">
        <v>5.35</v>
      </c>
      <c r="BZ46" s="173">
        <v>2.74</v>
      </c>
      <c r="CA46" s="173">
        <v>0</v>
      </c>
      <c r="CB46" s="174">
        <v>0.43</v>
      </c>
      <c r="CC46" s="257">
        <f t="shared" si="353"/>
        <v>13.72</v>
      </c>
      <c r="CE46" s="212">
        <v>11.46</v>
      </c>
      <c r="CF46" s="173">
        <v>9.59</v>
      </c>
      <c r="CG46" s="173">
        <v>14.19</v>
      </c>
      <c r="CH46" s="173">
        <v>13.65</v>
      </c>
      <c r="CI46" s="173">
        <v>0.35</v>
      </c>
      <c r="CJ46" s="173">
        <v>0</v>
      </c>
      <c r="CK46" s="174">
        <v>0</v>
      </c>
      <c r="CL46" s="257">
        <f t="shared" si="354"/>
        <v>49.24</v>
      </c>
      <c r="CN46" s="212">
        <v>1.22</v>
      </c>
      <c r="CO46" s="173">
        <v>10.46</v>
      </c>
      <c r="CP46" s="173">
        <v>12.29</v>
      </c>
      <c r="CQ46" s="173">
        <v>14.1</v>
      </c>
      <c r="CR46" s="173">
        <v>3.46</v>
      </c>
      <c r="CS46" s="173">
        <v>0</v>
      </c>
      <c r="CT46" s="174">
        <v>0.35</v>
      </c>
      <c r="CU46" s="257">
        <f t="shared" si="355"/>
        <v>41.88</v>
      </c>
      <c r="CW46" s="212">
        <v>10.88</v>
      </c>
      <c r="CX46" s="173">
        <v>13.95</v>
      </c>
      <c r="CY46" s="173">
        <v>12.24</v>
      </c>
      <c r="CZ46" s="173">
        <v>2.04</v>
      </c>
      <c r="DA46" s="173">
        <v>4.62</v>
      </c>
      <c r="DB46" s="173">
        <v>0.27</v>
      </c>
      <c r="DC46" s="174">
        <v>0.34</v>
      </c>
      <c r="DD46" s="257">
        <f t="shared" si="356"/>
        <v>44.34</v>
      </c>
      <c r="DF46" s="212">
        <v>15.44</v>
      </c>
      <c r="DG46" s="173">
        <v>20.54</v>
      </c>
      <c r="DH46" s="173">
        <v>12.69</v>
      </c>
      <c r="DI46" s="173">
        <v>2</v>
      </c>
      <c r="DJ46" s="173"/>
      <c r="DK46" s="173"/>
      <c r="DL46" s="174"/>
      <c r="DM46" s="257">
        <f t="shared" si="357"/>
        <v>50.669999999999995</v>
      </c>
      <c r="DO46" s="212"/>
      <c r="DP46" s="173"/>
      <c r="DQ46" s="173"/>
      <c r="DR46" s="173"/>
      <c r="DS46" s="173">
        <v>0</v>
      </c>
      <c r="DT46" s="173">
        <v>0</v>
      </c>
      <c r="DU46" s="174">
        <v>0</v>
      </c>
      <c r="DV46" s="257">
        <f t="shared" si="358"/>
        <v>0</v>
      </c>
      <c r="DX46" s="212">
        <v>0</v>
      </c>
      <c r="DY46" s="173">
        <v>0</v>
      </c>
      <c r="DZ46" s="173">
        <v>0</v>
      </c>
      <c r="EA46" s="173">
        <v>0</v>
      </c>
      <c r="EB46" s="173"/>
      <c r="EC46" s="173"/>
      <c r="ED46" s="174"/>
      <c r="EE46" s="257">
        <f t="shared" si="359"/>
        <v>0</v>
      </c>
      <c r="EG46" s="212"/>
      <c r="EH46" s="173"/>
      <c r="EI46" s="173"/>
      <c r="EJ46" s="173"/>
      <c r="EK46" s="173"/>
      <c r="EL46" s="173"/>
      <c r="EM46" s="174"/>
      <c r="EN46" s="257">
        <f t="shared" si="360"/>
        <v>0</v>
      </c>
      <c r="EP46" s="212"/>
      <c r="EQ46" s="173"/>
      <c r="ER46" s="173"/>
      <c r="ES46" s="173"/>
      <c r="ET46" s="173"/>
      <c r="EU46" s="173"/>
      <c r="EV46" s="174"/>
      <c r="EW46" s="257">
        <f t="shared" si="361"/>
        <v>0</v>
      </c>
    </row>
    <row r="47" spans="2:153" ht="15.75" hidden="1" customHeight="1" x14ac:dyDescent="0.3">
      <c r="B47" s="801"/>
      <c r="C47" s="186" t="s">
        <v>79</v>
      </c>
      <c r="D47" s="187"/>
      <c r="E47" s="188"/>
      <c r="F47" s="179" t="s">
        <v>170</v>
      </c>
      <c r="G47" s="180"/>
      <c r="H47" s="166"/>
      <c r="I47" s="173"/>
      <c r="J47" s="173"/>
      <c r="K47" s="173"/>
      <c r="L47" s="173"/>
      <c r="M47" s="173"/>
      <c r="N47" s="173"/>
      <c r="O47" s="174"/>
      <c r="P47" s="172"/>
      <c r="Q47" s="175"/>
      <c r="R47" s="173"/>
      <c r="S47" s="173"/>
      <c r="T47" s="173"/>
      <c r="U47" s="173"/>
      <c r="V47" s="173"/>
      <c r="W47" s="173"/>
      <c r="X47" s="172"/>
      <c r="Y47" s="173"/>
      <c r="Z47" s="173"/>
      <c r="AA47" s="173"/>
      <c r="AB47" s="173"/>
      <c r="AC47" s="173"/>
      <c r="AD47" s="173"/>
      <c r="AE47" s="173"/>
      <c r="AG47" s="173"/>
      <c r="AH47" s="173"/>
      <c r="AI47" s="173"/>
      <c r="AJ47" s="173"/>
      <c r="AK47" s="173"/>
      <c r="AL47" s="173"/>
      <c r="AM47" s="173"/>
      <c r="AO47" s="173"/>
      <c r="AP47" s="173"/>
      <c r="AQ47" s="173"/>
      <c r="AR47" s="173"/>
      <c r="AS47" s="173"/>
      <c r="AT47" s="173"/>
      <c r="AU47" s="173"/>
      <c r="AW47" s="212"/>
      <c r="AX47" s="173"/>
      <c r="AY47" s="173"/>
      <c r="AZ47" s="173"/>
      <c r="BA47" s="173"/>
      <c r="BB47" s="173"/>
      <c r="BC47" s="213"/>
      <c r="BE47" s="173"/>
      <c r="BF47" s="173"/>
      <c r="BG47" s="173"/>
      <c r="BH47" s="173"/>
      <c r="BI47" s="173"/>
      <c r="BJ47" s="173"/>
      <c r="BK47" s="173"/>
      <c r="BM47" s="212"/>
      <c r="BN47" s="173"/>
      <c r="BO47" s="173"/>
      <c r="BP47" s="173"/>
      <c r="BQ47" s="173"/>
      <c r="BR47" s="173"/>
      <c r="BS47" s="213"/>
      <c r="BT47" s="203"/>
      <c r="BV47" s="212"/>
      <c r="BW47" s="173"/>
      <c r="BX47" s="173"/>
      <c r="BY47" s="173"/>
      <c r="BZ47" s="173"/>
      <c r="CA47" s="173"/>
      <c r="CB47" s="213"/>
      <c r="CC47" s="203"/>
      <c r="CE47" s="212"/>
      <c r="CF47" s="173"/>
      <c r="CG47" s="173"/>
      <c r="CH47" s="173"/>
      <c r="CI47" s="173"/>
      <c r="CJ47" s="173"/>
      <c r="CK47" s="213"/>
      <c r="CL47" s="203"/>
      <c r="CN47" s="212"/>
      <c r="CO47" s="173"/>
      <c r="CP47" s="173">
        <v>1080</v>
      </c>
      <c r="CQ47" s="173"/>
      <c r="CR47" s="173"/>
      <c r="CS47" s="173"/>
      <c r="CT47" s="213"/>
      <c r="CU47" s="203"/>
      <c r="CW47" s="212"/>
      <c r="CX47" s="173"/>
      <c r="CY47" s="173">
        <v>1080</v>
      </c>
      <c r="CZ47" s="173"/>
      <c r="DA47" s="173"/>
      <c r="DB47" s="173"/>
      <c r="DC47" s="213"/>
      <c r="DD47" s="203"/>
      <c r="DF47" s="212"/>
      <c r="DG47" s="173"/>
      <c r="DH47" s="173">
        <v>1080</v>
      </c>
      <c r="DI47" s="173"/>
      <c r="DJ47" s="173"/>
      <c r="DK47" s="173"/>
      <c r="DL47" s="213"/>
      <c r="DM47" s="203"/>
      <c r="DO47" s="212"/>
      <c r="DP47" s="173"/>
      <c r="DQ47" s="173">
        <v>1080</v>
      </c>
      <c r="DR47" s="173"/>
      <c r="DS47" s="173"/>
      <c r="DT47" s="173"/>
      <c r="DU47" s="213"/>
      <c r="DV47" s="203"/>
      <c r="DX47" s="212"/>
      <c r="DY47" s="173"/>
      <c r="DZ47" s="173">
        <v>1080</v>
      </c>
      <c r="EA47" s="173"/>
      <c r="EB47" s="173"/>
      <c r="EC47" s="173"/>
      <c r="ED47" s="213"/>
      <c r="EE47" s="203"/>
      <c r="EG47" s="212"/>
      <c r="EH47" s="173"/>
      <c r="EI47" s="173">
        <v>1080</v>
      </c>
      <c r="EJ47" s="173"/>
      <c r="EK47" s="173"/>
      <c r="EL47" s="173"/>
      <c r="EM47" s="213"/>
      <c r="EN47" s="203"/>
      <c r="EP47" s="212"/>
      <c r="EQ47" s="173"/>
      <c r="ER47" s="173">
        <v>1080</v>
      </c>
      <c r="ES47" s="173"/>
      <c r="ET47" s="173"/>
      <c r="EU47" s="173"/>
      <c r="EV47" s="213"/>
      <c r="EW47" s="203"/>
    </row>
    <row r="48" spans="2:153" ht="15.75" hidden="1" customHeight="1" x14ac:dyDescent="0.3">
      <c r="B48" s="801"/>
      <c r="C48" s="186" t="s">
        <v>171</v>
      </c>
      <c r="D48" s="187"/>
      <c r="E48" s="188"/>
      <c r="F48" s="179" t="s">
        <v>26</v>
      </c>
      <c r="G48" s="180"/>
      <c r="H48" s="166"/>
      <c r="I48" s="173"/>
      <c r="J48" s="173"/>
      <c r="K48" s="173"/>
      <c r="L48" s="173"/>
      <c r="M48" s="173"/>
      <c r="N48" s="173"/>
      <c r="O48" s="174"/>
      <c r="P48" s="172"/>
      <c r="Q48" s="175"/>
      <c r="R48" s="173"/>
      <c r="S48" s="173"/>
      <c r="T48" s="173"/>
      <c r="U48" s="173"/>
      <c r="V48" s="173"/>
      <c r="W48" s="173"/>
      <c r="X48" s="172"/>
      <c r="Y48" s="173"/>
      <c r="Z48" s="173"/>
      <c r="AA48" s="173"/>
      <c r="AB48" s="173"/>
      <c r="AC48" s="173"/>
      <c r="AD48" s="173"/>
      <c r="AE48" s="173"/>
      <c r="AG48" s="173"/>
      <c r="AH48" s="173"/>
      <c r="AI48" s="173"/>
      <c r="AJ48" s="173"/>
      <c r="AK48" s="173"/>
      <c r="AL48" s="173"/>
      <c r="AM48" s="173"/>
      <c r="AO48" s="173"/>
      <c r="AP48" s="173"/>
      <c r="AQ48" s="173"/>
      <c r="AR48" s="173"/>
      <c r="AS48" s="173"/>
      <c r="AT48" s="173"/>
      <c r="AU48" s="173"/>
      <c r="AW48" s="212"/>
      <c r="AX48" s="173"/>
      <c r="AY48" s="173"/>
      <c r="AZ48" s="173"/>
      <c r="BA48" s="173"/>
      <c r="BB48" s="173"/>
      <c r="BC48" s="213"/>
      <c r="BE48" s="173"/>
      <c r="BF48" s="173"/>
      <c r="BG48" s="173"/>
      <c r="BH48" s="173"/>
      <c r="BI48" s="173"/>
      <c r="BJ48" s="173"/>
      <c r="BK48" s="173"/>
      <c r="BM48" s="212"/>
      <c r="BN48" s="173"/>
      <c r="BO48" s="173"/>
      <c r="BP48" s="173"/>
      <c r="BQ48" s="173"/>
      <c r="BR48" s="173"/>
      <c r="BS48" s="213"/>
      <c r="BT48" s="203"/>
      <c r="BV48" s="212"/>
      <c r="BW48" s="173"/>
      <c r="BX48" s="173"/>
      <c r="BY48" s="173"/>
      <c r="BZ48" s="173"/>
      <c r="CA48" s="173"/>
      <c r="CB48" s="213"/>
      <c r="CC48" s="203"/>
      <c r="CE48" s="212"/>
      <c r="CF48" s="173"/>
      <c r="CG48" s="173"/>
      <c r="CH48" s="173"/>
      <c r="CI48" s="173"/>
      <c r="CJ48" s="173"/>
      <c r="CK48" s="213"/>
      <c r="CL48" s="203"/>
      <c r="CN48" s="212"/>
      <c r="CO48" s="173"/>
      <c r="CP48" s="173"/>
      <c r="CQ48" s="173"/>
      <c r="CR48" s="173"/>
      <c r="CS48" s="173"/>
      <c r="CT48" s="213"/>
      <c r="CU48" s="203"/>
      <c r="CW48" s="212"/>
      <c r="CX48" s="173"/>
      <c r="CY48" s="173"/>
      <c r="CZ48" s="173"/>
      <c r="DA48" s="173"/>
      <c r="DB48" s="173"/>
      <c r="DC48" s="213"/>
      <c r="DD48" s="203"/>
      <c r="DF48" s="212"/>
      <c r="DG48" s="173"/>
      <c r="DH48" s="173"/>
      <c r="DI48" s="173"/>
      <c r="DJ48" s="173"/>
      <c r="DK48" s="173"/>
      <c r="DL48" s="213"/>
      <c r="DM48" s="203"/>
      <c r="DO48" s="212"/>
      <c r="DP48" s="173"/>
      <c r="DQ48" s="173"/>
      <c r="DR48" s="173"/>
      <c r="DS48" s="173"/>
      <c r="DT48" s="173"/>
      <c r="DU48" s="213"/>
      <c r="DV48" s="203"/>
      <c r="DX48" s="212"/>
      <c r="DY48" s="173"/>
      <c r="DZ48" s="173"/>
      <c r="EA48" s="173"/>
      <c r="EB48" s="173"/>
      <c r="EC48" s="173"/>
      <c r="ED48" s="213"/>
      <c r="EE48" s="203"/>
      <c r="EG48" s="212"/>
      <c r="EH48" s="173"/>
      <c r="EI48" s="173"/>
      <c r="EJ48" s="173"/>
      <c r="EK48" s="173"/>
      <c r="EL48" s="173"/>
      <c r="EM48" s="213"/>
      <c r="EN48" s="203"/>
      <c r="EP48" s="212"/>
      <c r="EQ48" s="173"/>
      <c r="ER48" s="173"/>
      <c r="ES48" s="173"/>
      <c r="ET48" s="173"/>
      <c r="EU48" s="173"/>
      <c r="EV48" s="213"/>
      <c r="EW48" s="203"/>
    </row>
    <row r="49" spans="2:153" ht="15.6" x14ac:dyDescent="0.3">
      <c r="B49" s="801"/>
      <c r="C49" s="189" t="s">
        <v>20</v>
      </c>
      <c r="D49" s="190"/>
      <c r="E49" s="191"/>
      <c r="F49" s="181" t="s">
        <v>172</v>
      </c>
      <c r="G49" s="182"/>
      <c r="H49" s="166"/>
      <c r="I49" s="183">
        <f t="shared" ref="I49:O49" si="362">I47/I42</f>
        <v>0</v>
      </c>
      <c r="J49" s="183">
        <f t="shared" si="362"/>
        <v>0</v>
      </c>
      <c r="K49" s="183">
        <f t="shared" si="362"/>
        <v>0</v>
      </c>
      <c r="L49" s="183">
        <f t="shared" si="362"/>
        <v>0</v>
      </c>
      <c r="M49" s="183">
        <f t="shared" si="362"/>
        <v>0</v>
      </c>
      <c r="N49" s="183">
        <f t="shared" si="362"/>
        <v>0</v>
      </c>
      <c r="O49" s="184">
        <f t="shared" si="362"/>
        <v>0</v>
      </c>
      <c r="P49" s="172"/>
      <c r="Q49" s="185">
        <f t="shared" ref="Q49:W49" si="363">Q47/Q42</f>
        <v>0</v>
      </c>
      <c r="R49" s="183">
        <f t="shared" si="363"/>
        <v>0</v>
      </c>
      <c r="S49" s="183">
        <f t="shared" si="363"/>
        <v>0</v>
      </c>
      <c r="T49" s="183">
        <f t="shared" si="363"/>
        <v>0</v>
      </c>
      <c r="U49" s="183">
        <f t="shared" si="363"/>
        <v>0</v>
      </c>
      <c r="V49" s="183">
        <f t="shared" si="363"/>
        <v>0</v>
      </c>
      <c r="W49" s="183">
        <f t="shared" si="363"/>
        <v>0</v>
      </c>
      <c r="X49" s="172"/>
      <c r="Y49" s="183">
        <f t="shared" ref="Y49:AE49" si="364">Y47/Y42</f>
        <v>0</v>
      </c>
      <c r="Z49" s="183">
        <f t="shared" si="364"/>
        <v>0</v>
      </c>
      <c r="AA49" s="183">
        <f t="shared" si="364"/>
        <v>0</v>
      </c>
      <c r="AB49" s="183">
        <f t="shared" si="364"/>
        <v>0</v>
      </c>
      <c r="AC49" s="183">
        <f t="shared" si="364"/>
        <v>0</v>
      </c>
      <c r="AD49" s="183">
        <f t="shared" si="364"/>
        <v>0</v>
      </c>
      <c r="AE49" s="183">
        <f t="shared" si="364"/>
        <v>0</v>
      </c>
      <c r="AG49" s="183">
        <f t="shared" ref="AG49:AM49" si="365">AG47/AG42</f>
        <v>0</v>
      </c>
      <c r="AH49" s="183">
        <f t="shared" si="365"/>
        <v>0</v>
      </c>
      <c r="AI49" s="183">
        <f t="shared" si="365"/>
        <v>0</v>
      </c>
      <c r="AJ49" s="183">
        <f t="shared" si="365"/>
        <v>0</v>
      </c>
      <c r="AK49" s="183">
        <f t="shared" si="365"/>
        <v>0</v>
      </c>
      <c r="AL49" s="183">
        <f t="shared" si="365"/>
        <v>0</v>
      </c>
      <c r="AM49" s="183">
        <f t="shared" si="365"/>
        <v>0</v>
      </c>
      <c r="AO49" s="183">
        <f t="shared" ref="AO49:AU49" si="366">AO47/AO42</f>
        <v>0</v>
      </c>
      <c r="AP49" s="183">
        <f t="shared" si="366"/>
        <v>0</v>
      </c>
      <c r="AQ49" s="183">
        <f t="shared" si="366"/>
        <v>0</v>
      </c>
      <c r="AR49" s="183">
        <f t="shared" si="366"/>
        <v>0</v>
      </c>
      <c r="AS49" s="183">
        <f t="shared" si="366"/>
        <v>0</v>
      </c>
      <c r="AT49" s="183">
        <f t="shared" si="366"/>
        <v>0</v>
      </c>
      <c r="AU49" s="183">
        <f t="shared" si="366"/>
        <v>0</v>
      </c>
      <c r="AW49" s="214" t="e">
        <f t="shared" ref="AW49:BC49" si="367">AW47/AW42</f>
        <v>#DIV/0!</v>
      </c>
      <c r="AX49" s="183">
        <f t="shared" si="367"/>
        <v>0</v>
      </c>
      <c r="AY49" s="183">
        <f t="shared" si="367"/>
        <v>0</v>
      </c>
      <c r="AZ49" s="183">
        <f t="shared" si="367"/>
        <v>0</v>
      </c>
      <c r="BA49" s="183">
        <f t="shared" si="367"/>
        <v>0</v>
      </c>
      <c r="BB49" s="183">
        <f t="shared" si="367"/>
        <v>0</v>
      </c>
      <c r="BC49" s="215">
        <f t="shared" si="367"/>
        <v>0</v>
      </c>
      <c r="BE49" s="183">
        <f t="shared" ref="BE49:BK49" si="368">BE47/BE42</f>
        <v>0</v>
      </c>
      <c r="BF49" s="183">
        <f t="shared" si="368"/>
        <v>0</v>
      </c>
      <c r="BG49" s="183">
        <f t="shared" si="368"/>
        <v>0</v>
      </c>
      <c r="BH49" s="183">
        <f t="shared" si="368"/>
        <v>0</v>
      </c>
      <c r="BI49" s="183">
        <f t="shared" si="368"/>
        <v>0</v>
      </c>
      <c r="BJ49" s="183">
        <f t="shared" si="368"/>
        <v>0</v>
      </c>
      <c r="BK49" s="183">
        <f t="shared" si="368"/>
        <v>0</v>
      </c>
      <c r="BM49" s="214">
        <f>BM45/BM40</f>
        <v>0.67826086956521747</v>
      </c>
      <c r="BN49" s="183">
        <f t="shared" ref="BN49:BS49" si="369">BN47/BN42</f>
        <v>0</v>
      </c>
      <c r="BO49" s="183">
        <f t="shared" si="369"/>
        <v>0</v>
      </c>
      <c r="BP49" s="183">
        <f t="shared" si="369"/>
        <v>0</v>
      </c>
      <c r="BQ49" s="183">
        <f t="shared" si="369"/>
        <v>0</v>
      </c>
      <c r="BR49" s="183">
        <f t="shared" si="369"/>
        <v>0</v>
      </c>
      <c r="BS49" s="215">
        <f t="shared" si="369"/>
        <v>0</v>
      </c>
      <c r="BV49" s="214" t="e">
        <f>BV45/BV40</f>
        <v>#DIV/0!</v>
      </c>
      <c r="BW49" s="183">
        <f t="shared" ref="BW49:CB49" si="370">BW47/BW42</f>
        <v>0</v>
      </c>
      <c r="BX49" s="183">
        <f t="shared" si="370"/>
        <v>0</v>
      </c>
      <c r="BY49" s="183">
        <f t="shared" si="370"/>
        <v>0</v>
      </c>
      <c r="BZ49" s="183">
        <f t="shared" si="370"/>
        <v>0</v>
      </c>
      <c r="CA49" s="183">
        <f t="shared" si="370"/>
        <v>0</v>
      </c>
      <c r="CB49" s="215">
        <f t="shared" si="370"/>
        <v>0</v>
      </c>
      <c r="CE49" s="214">
        <f>CE45/CE40</f>
        <v>0.11643835616438356</v>
      </c>
      <c r="CF49" s="183">
        <f t="shared" ref="CF49:CK49" si="371">CF47/CF42</f>
        <v>0</v>
      </c>
      <c r="CG49" s="183">
        <f t="shared" si="371"/>
        <v>0</v>
      </c>
      <c r="CH49" s="183">
        <f t="shared" si="371"/>
        <v>0</v>
      </c>
      <c r="CI49" s="183">
        <f t="shared" si="371"/>
        <v>0</v>
      </c>
      <c r="CJ49" s="183">
        <f t="shared" si="371"/>
        <v>0</v>
      </c>
      <c r="CK49" s="215" t="e">
        <f t="shared" si="371"/>
        <v>#DIV/0!</v>
      </c>
      <c r="CN49" s="214" t="e">
        <f>CN45/CN40</f>
        <v>#DIV/0!</v>
      </c>
      <c r="CO49" s="183">
        <f t="shared" ref="CO49:CT49" si="372">CO47/CO42</f>
        <v>0</v>
      </c>
      <c r="CP49" s="183">
        <f t="shared" si="372"/>
        <v>18.717504332755631</v>
      </c>
      <c r="CQ49" s="183">
        <f>CQ45/CQ40</f>
        <v>6.2254901960784322E-2</v>
      </c>
      <c r="CR49" s="183">
        <f t="shared" si="372"/>
        <v>0</v>
      </c>
      <c r="CS49" s="183">
        <f t="shared" si="372"/>
        <v>0</v>
      </c>
      <c r="CT49" s="215">
        <f t="shared" si="372"/>
        <v>0</v>
      </c>
      <c r="CW49" s="214">
        <f>CW45/CW40</f>
        <v>4.1830065359477121E-2</v>
      </c>
      <c r="CX49" s="183">
        <f t="shared" ref="CX49:CY49" si="373">CX47/CX42</f>
        <v>0</v>
      </c>
      <c r="CY49" s="183">
        <f t="shared" si="373"/>
        <v>14.933628318584072</v>
      </c>
      <c r="CZ49" s="183" t="e">
        <f>CZ45/CZ40</f>
        <v>#DIV/0!</v>
      </c>
      <c r="DA49" s="183">
        <f t="shared" ref="DA49:DC49" si="374">DA47/DA42</f>
        <v>0</v>
      </c>
      <c r="DB49" s="183">
        <f t="shared" si="374"/>
        <v>0</v>
      </c>
      <c r="DC49" s="215">
        <f t="shared" si="374"/>
        <v>0</v>
      </c>
      <c r="DF49" s="214">
        <f>DF45/DF40</f>
        <v>0.11025819958129798</v>
      </c>
      <c r="DG49" s="183">
        <f t="shared" ref="DG49:DH49" si="375">DG47/DG42</f>
        <v>0</v>
      </c>
      <c r="DH49" s="183">
        <f t="shared" si="375"/>
        <v>18.80222841225627</v>
      </c>
      <c r="DI49" s="183" t="e">
        <f>DI45/DI40</f>
        <v>#DIV/0!</v>
      </c>
      <c r="DJ49" s="183" t="e">
        <f t="shared" ref="DJ49:DL49" si="376">DJ47/DJ42</f>
        <v>#DIV/0!</v>
      </c>
      <c r="DK49" s="183" t="e">
        <f t="shared" si="376"/>
        <v>#DIV/0!</v>
      </c>
      <c r="DL49" s="215" t="e">
        <f t="shared" si="376"/>
        <v>#DIV/0!</v>
      </c>
      <c r="DO49" s="214" t="e">
        <f>DO45/DO40</f>
        <v>#DIV/0!</v>
      </c>
      <c r="DP49" s="183" t="e">
        <f t="shared" ref="DP49:DQ49" si="377">DP47/DP42</f>
        <v>#DIV/0!</v>
      </c>
      <c r="DQ49" s="183" t="e">
        <f t="shared" si="377"/>
        <v>#DIV/0!</v>
      </c>
      <c r="DR49" s="183" t="e">
        <f>DR45/DR40</f>
        <v>#DIV/0!</v>
      </c>
      <c r="DS49" s="183" t="e">
        <f t="shared" ref="DS49:DU49" si="378">DS47/DS42</f>
        <v>#DIV/0!</v>
      </c>
      <c r="DT49" s="183">
        <f t="shared" si="378"/>
        <v>0</v>
      </c>
      <c r="DU49" s="215">
        <f t="shared" si="378"/>
        <v>0</v>
      </c>
      <c r="DX49" s="214">
        <f>IF(ISNUMBER(DX40),DX45/DX40,)</f>
        <v>0</v>
      </c>
      <c r="DY49" s="214">
        <f t="shared" ref="DY49:ED49" si="379">IF(ISNUMBER(DY40),DY45/DY40,)</f>
        <v>0</v>
      </c>
      <c r="DZ49" s="214">
        <f t="shared" si="379"/>
        <v>0</v>
      </c>
      <c r="EA49" s="214">
        <f t="shared" si="379"/>
        <v>0</v>
      </c>
      <c r="EB49" s="214">
        <f t="shared" si="379"/>
        <v>0</v>
      </c>
      <c r="EC49" s="214">
        <f t="shared" si="379"/>
        <v>0</v>
      </c>
      <c r="ED49" s="214">
        <f t="shared" si="379"/>
        <v>0</v>
      </c>
      <c r="EG49" s="214">
        <f>IF(ISNUMBER(EG40),EG45/EG40,)</f>
        <v>0</v>
      </c>
      <c r="EH49" s="214">
        <f t="shared" ref="EH49:EM49" si="380">IF(ISNUMBER(EH40),EH45/EH40,)</f>
        <v>0</v>
      </c>
      <c r="EI49" s="214">
        <f t="shared" si="380"/>
        <v>0</v>
      </c>
      <c r="EJ49" s="214">
        <f t="shared" si="380"/>
        <v>0</v>
      </c>
      <c r="EK49" s="214">
        <f t="shared" si="380"/>
        <v>0</v>
      </c>
      <c r="EL49" s="214">
        <f t="shared" si="380"/>
        <v>0</v>
      </c>
      <c r="EM49" s="214">
        <f t="shared" si="380"/>
        <v>0</v>
      </c>
      <c r="EN49"/>
      <c r="EP49" s="214">
        <f>IF(ISNUMBER(EP40),EP45/EP40,)</f>
        <v>0</v>
      </c>
      <c r="EQ49" s="214">
        <f t="shared" ref="EQ49:EV49" si="381">IF(ISNUMBER(EQ40),EQ45/EQ40,)</f>
        <v>0</v>
      </c>
      <c r="ER49" s="214">
        <f t="shared" si="381"/>
        <v>0</v>
      </c>
      <c r="ES49" s="214">
        <f t="shared" si="381"/>
        <v>0</v>
      </c>
      <c r="ET49" s="214">
        <f t="shared" si="381"/>
        <v>0</v>
      </c>
      <c r="EU49" s="214">
        <f t="shared" si="381"/>
        <v>0</v>
      </c>
      <c r="EV49" s="214">
        <f t="shared" si="381"/>
        <v>0</v>
      </c>
      <c r="EW49"/>
    </row>
    <row r="50" spans="2:153" ht="15.6" x14ac:dyDescent="0.3">
      <c r="B50" s="801"/>
      <c r="C50" s="766" t="s">
        <v>169</v>
      </c>
      <c r="D50" s="767"/>
      <c r="E50" s="768"/>
      <c r="F50" s="181" t="s">
        <v>53</v>
      </c>
      <c r="G50" s="182"/>
      <c r="H50" s="166"/>
      <c r="I50" s="183" t="e">
        <f t="shared" ref="I50:O50" si="382">I49/I46</f>
        <v>#DIV/0!</v>
      </c>
      <c r="J50" s="183" t="e">
        <f t="shared" si="382"/>
        <v>#DIV/0!</v>
      </c>
      <c r="K50" s="183" t="e">
        <f t="shared" si="382"/>
        <v>#DIV/0!</v>
      </c>
      <c r="L50" s="183" t="e">
        <f t="shared" si="382"/>
        <v>#DIV/0!</v>
      </c>
      <c r="M50" s="183" t="e">
        <f t="shared" si="382"/>
        <v>#DIV/0!</v>
      </c>
      <c r="N50" s="183" t="e">
        <f t="shared" si="382"/>
        <v>#DIV/0!</v>
      </c>
      <c r="O50" s="184" t="e">
        <f t="shared" si="382"/>
        <v>#DIV/0!</v>
      </c>
      <c r="P50" s="172"/>
      <c r="Q50" s="185" t="e">
        <f t="shared" ref="Q50:W50" si="383">Q49/Q46</f>
        <v>#DIV/0!</v>
      </c>
      <c r="R50" s="183" t="e">
        <f t="shared" si="383"/>
        <v>#DIV/0!</v>
      </c>
      <c r="S50" s="183" t="e">
        <f t="shared" si="383"/>
        <v>#DIV/0!</v>
      </c>
      <c r="T50" s="183" t="e">
        <f t="shared" si="383"/>
        <v>#DIV/0!</v>
      </c>
      <c r="U50" s="183" t="e">
        <f t="shared" si="383"/>
        <v>#DIV/0!</v>
      </c>
      <c r="V50" s="183" t="e">
        <f t="shared" si="383"/>
        <v>#DIV/0!</v>
      </c>
      <c r="W50" s="183" t="e">
        <f t="shared" si="383"/>
        <v>#DIV/0!</v>
      </c>
      <c r="X50" s="172"/>
      <c r="Y50" s="183" t="e">
        <f t="shared" ref="Y50:AE50" si="384">Y49/Y46</f>
        <v>#DIV/0!</v>
      </c>
      <c r="Z50" s="183" t="e">
        <f t="shared" si="384"/>
        <v>#DIV/0!</v>
      </c>
      <c r="AA50" s="183" t="e">
        <f t="shared" si="384"/>
        <v>#DIV/0!</v>
      </c>
      <c r="AB50" s="183" t="e">
        <f t="shared" si="384"/>
        <v>#DIV/0!</v>
      </c>
      <c r="AC50" s="183" t="e">
        <f t="shared" si="384"/>
        <v>#DIV/0!</v>
      </c>
      <c r="AD50" s="183" t="e">
        <f t="shared" si="384"/>
        <v>#DIV/0!</v>
      </c>
      <c r="AE50" s="183" t="e">
        <f t="shared" si="384"/>
        <v>#DIV/0!</v>
      </c>
      <c r="AG50" s="183">
        <f t="shared" ref="AG50:AM50" si="385">AG49/AG46</f>
        <v>0</v>
      </c>
      <c r="AH50" s="183">
        <f t="shared" si="385"/>
        <v>0</v>
      </c>
      <c r="AI50" s="183">
        <f t="shared" si="385"/>
        <v>0</v>
      </c>
      <c r="AJ50" s="183">
        <f t="shared" si="385"/>
        <v>0</v>
      </c>
      <c r="AK50" s="183" t="e">
        <f t="shared" si="385"/>
        <v>#DIV/0!</v>
      </c>
      <c r="AL50" s="183" t="e">
        <f t="shared" si="385"/>
        <v>#DIV/0!</v>
      </c>
      <c r="AM50" s="183" t="e">
        <f t="shared" si="385"/>
        <v>#DIV/0!</v>
      </c>
      <c r="AO50" s="183" t="e">
        <f t="shared" ref="AO50:AU50" si="386">AO49/AO46</f>
        <v>#DIV/0!</v>
      </c>
      <c r="AP50" s="183">
        <f t="shared" si="386"/>
        <v>0</v>
      </c>
      <c r="AQ50" s="183">
        <f t="shared" si="386"/>
        <v>0</v>
      </c>
      <c r="AR50" s="183">
        <f t="shared" si="386"/>
        <v>0</v>
      </c>
      <c r="AS50" s="183">
        <f t="shared" si="386"/>
        <v>0</v>
      </c>
      <c r="AT50" s="183" t="e">
        <f t="shared" si="386"/>
        <v>#DIV/0!</v>
      </c>
      <c r="AU50" s="183">
        <f t="shared" si="386"/>
        <v>0</v>
      </c>
      <c r="AW50" s="214" t="e">
        <f t="shared" ref="AW50:BC50" si="387">AW49/AW46</f>
        <v>#DIV/0!</v>
      </c>
      <c r="AX50" s="183">
        <f t="shared" si="387"/>
        <v>0</v>
      </c>
      <c r="AY50" s="183">
        <f t="shared" si="387"/>
        <v>0</v>
      </c>
      <c r="AZ50" s="183">
        <f t="shared" si="387"/>
        <v>0</v>
      </c>
      <c r="BA50" s="183">
        <f t="shared" si="387"/>
        <v>0</v>
      </c>
      <c r="BB50" s="183">
        <f t="shared" si="387"/>
        <v>0</v>
      </c>
      <c r="BC50" s="215">
        <f t="shared" si="387"/>
        <v>0</v>
      </c>
      <c r="BE50" s="183">
        <f t="shared" ref="BE50:BK50" si="388">BE49/BE46</f>
        <v>0</v>
      </c>
      <c r="BF50" s="183">
        <f t="shared" si="388"/>
        <v>0</v>
      </c>
      <c r="BG50" s="183">
        <f t="shared" si="388"/>
        <v>0</v>
      </c>
      <c r="BH50" s="183">
        <f t="shared" si="388"/>
        <v>0</v>
      </c>
      <c r="BI50" s="183" t="e">
        <f t="shared" si="388"/>
        <v>#DIV/0!</v>
      </c>
      <c r="BJ50" s="183" t="e">
        <f t="shared" si="388"/>
        <v>#DIV/0!</v>
      </c>
      <c r="BK50" s="183">
        <f t="shared" si="388"/>
        <v>0</v>
      </c>
      <c r="BM50" s="214">
        <f>BM44/BM39</f>
        <v>210.67884615384617</v>
      </c>
      <c r="BN50" s="183">
        <f t="shared" ref="BN50:BS50" si="389">BN44/BN39</f>
        <v>317.04706959706959</v>
      </c>
      <c r="BO50" s="183">
        <f t="shared" si="389"/>
        <v>253.58748280605226</v>
      </c>
      <c r="BP50" s="183">
        <f t="shared" si="389"/>
        <v>391.88411633109621</v>
      </c>
      <c r="BQ50" s="183" t="e">
        <f t="shared" si="389"/>
        <v>#DIV/0!</v>
      </c>
      <c r="BR50" s="183" t="e">
        <f t="shared" si="389"/>
        <v>#DIV/0!</v>
      </c>
      <c r="BS50" s="215" t="e">
        <f t="shared" si="389"/>
        <v>#DIV/0!</v>
      </c>
      <c r="BV50" s="214">
        <f>BV44/BV39</f>
        <v>246.22645161290325</v>
      </c>
      <c r="BW50" s="183">
        <f t="shared" ref="BW50:CB50" si="390">BW44/BW39</f>
        <v>231.16465346534653</v>
      </c>
      <c r="BX50" s="183">
        <f t="shared" si="390"/>
        <v>494.24301075268812</v>
      </c>
      <c r="BY50" s="183">
        <f t="shared" si="390"/>
        <v>194.00821917808219</v>
      </c>
      <c r="BZ50" s="183">
        <f t="shared" si="390"/>
        <v>2201.5646153846155</v>
      </c>
      <c r="CA50" s="183" t="e">
        <f t="shared" si="390"/>
        <v>#DIV/0!</v>
      </c>
      <c r="CB50" s="215" t="e">
        <f t="shared" si="390"/>
        <v>#DIV/0!</v>
      </c>
      <c r="CE50" s="214">
        <f>CE44/CE39</f>
        <v>0</v>
      </c>
      <c r="CF50" s="183">
        <f t="shared" ref="CF50:CK50" si="391">CF44/CF39</f>
        <v>302.4234011627907</v>
      </c>
      <c r="CG50" s="183">
        <f t="shared" si="391"/>
        <v>232.08763940520447</v>
      </c>
      <c r="CH50" s="183">
        <f t="shared" si="391"/>
        <v>331.83664596273286</v>
      </c>
      <c r="CI50" s="183" t="e">
        <f t="shared" si="391"/>
        <v>#DIV/0!</v>
      </c>
      <c r="CJ50" s="183" t="e">
        <f t="shared" si="391"/>
        <v>#DIV/0!</v>
      </c>
      <c r="CK50" s="215" t="e">
        <f t="shared" si="391"/>
        <v>#DIV/0!</v>
      </c>
      <c r="CN50" s="214" t="e">
        <f>CN44/CN39</f>
        <v>#DIV/0!</v>
      </c>
      <c r="CO50" s="183">
        <f t="shared" ref="CO50:CT50" si="392">CO44/CO39</f>
        <v>250.74134175560883</v>
      </c>
      <c r="CP50" s="183">
        <f t="shared" si="392"/>
        <v>155.61486725663715</v>
      </c>
      <c r="CQ50" s="183">
        <f t="shared" si="392"/>
        <v>246.38076923076923</v>
      </c>
      <c r="CR50" s="183">
        <f t="shared" si="392"/>
        <v>698.56156862745092</v>
      </c>
      <c r="CS50" s="183" t="e">
        <f t="shared" si="392"/>
        <v>#DIV/0!</v>
      </c>
      <c r="CT50" s="215" t="e">
        <f t="shared" si="392"/>
        <v>#DIV/0!</v>
      </c>
      <c r="CW50" s="214">
        <f>CW44/CW39</f>
        <v>182.34844540853217</v>
      </c>
      <c r="CX50" s="183">
        <f t="shared" ref="CX50:DC50" si="393">CX44/CX39</f>
        <v>171.72343749999999</v>
      </c>
      <c r="CY50" s="183">
        <f t="shared" si="393"/>
        <v>260.24356929212365</v>
      </c>
      <c r="CZ50" s="183" t="e">
        <f t="shared" si="393"/>
        <v>#DIV/0!</v>
      </c>
      <c r="DA50" s="183" t="e">
        <f t="shared" si="393"/>
        <v>#DIV/0!</v>
      </c>
      <c r="DB50" s="183" t="e">
        <f t="shared" si="393"/>
        <v>#DIV/0!</v>
      </c>
      <c r="DC50" s="215" t="e">
        <f t="shared" si="393"/>
        <v>#DIV/0!</v>
      </c>
      <c r="DF50" s="214">
        <f>DF44/DF39</f>
        <v>222.14619826756498</v>
      </c>
      <c r="DG50" s="183">
        <f t="shared" ref="DG50:DL50" si="394">DG44/DG39</f>
        <v>614.58151515151508</v>
      </c>
      <c r="DH50" s="183">
        <f t="shared" si="394"/>
        <v>298.70775740479547</v>
      </c>
      <c r="DI50" s="183" t="e">
        <f t="shared" si="394"/>
        <v>#DIV/0!</v>
      </c>
      <c r="DJ50" s="183" t="e">
        <f t="shared" si="394"/>
        <v>#DIV/0!</v>
      </c>
      <c r="DK50" s="183" t="e">
        <f t="shared" si="394"/>
        <v>#DIV/0!</v>
      </c>
      <c r="DL50" s="215" t="e">
        <f t="shared" si="394"/>
        <v>#DIV/0!</v>
      </c>
      <c r="DO50" s="214" t="e">
        <f>DO44/DO39</f>
        <v>#DIV/0!</v>
      </c>
      <c r="DP50" s="183" t="e">
        <f t="shared" ref="DP50:DU50" si="395">DP44/DP39</f>
        <v>#DIV/0!</v>
      </c>
      <c r="DQ50" s="183" t="e">
        <f t="shared" si="395"/>
        <v>#DIV/0!</v>
      </c>
      <c r="DR50" s="183" t="e">
        <f t="shared" si="395"/>
        <v>#DIV/0!</v>
      </c>
      <c r="DS50" s="183" t="e">
        <f t="shared" si="395"/>
        <v>#DIV/0!</v>
      </c>
      <c r="DT50" s="183" t="e">
        <f t="shared" si="395"/>
        <v>#DIV/0!</v>
      </c>
      <c r="DU50" s="215" t="e">
        <f t="shared" si="395"/>
        <v>#DIV/0!</v>
      </c>
      <c r="DX50" s="214">
        <f>IF(ISNUMBER(DX39),DX44/DX39,)</f>
        <v>0</v>
      </c>
      <c r="DY50" s="214">
        <f t="shared" ref="DY50:ED50" si="396">IF(ISNUMBER(DY39),DY44/DY39,)</f>
        <v>0</v>
      </c>
      <c r="DZ50" s="214">
        <f t="shared" si="396"/>
        <v>241.20983213429255</v>
      </c>
      <c r="EA50" s="214">
        <f t="shared" si="396"/>
        <v>274.25239808153475</v>
      </c>
      <c r="EB50" s="214">
        <f t="shared" si="396"/>
        <v>0</v>
      </c>
      <c r="EC50" s="214">
        <f t="shared" si="396"/>
        <v>0</v>
      </c>
      <c r="ED50" s="214">
        <f t="shared" si="396"/>
        <v>0</v>
      </c>
      <c r="EG50" s="214">
        <f>IF(ISNUMBER(EG39),EG44/EG39,)</f>
        <v>0</v>
      </c>
      <c r="EH50" s="214">
        <f t="shared" ref="EH50:EM50" si="397">IF(ISNUMBER(EH39),EH44/EH39,)</f>
        <v>0</v>
      </c>
      <c r="EI50" s="214">
        <f t="shared" si="397"/>
        <v>0</v>
      </c>
      <c r="EJ50" s="214">
        <f t="shared" si="397"/>
        <v>0</v>
      </c>
      <c r="EK50" s="214">
        <f t="shared" si="397"/>
        <v>0</v>
      </c>
      <c r="EL50" s="214">
        <f t="shared" si="397"/>
        <v>0</v>
      </c>
      <c r="EM50" s="214">
        <f t="shared" si="397"/>
        <v>0</v>
      </c>
      <c r="EN50"/>
      <c r="EP50" s="214">
        <f>IF(ISNUMBER(EP39),EP44/EP39,)</f>
        <v>0</v>
      </c>
      <c r="EQ50" s="214">
        <f t="shared" ref="EQ50:EV50" si="398">IF(ISNUMBER(EQ39),EQ44/EQ39,)</f>
        <v>0</v>
      </c>
      <c r="ER50" s="214">
        <f t="shared" si="398"/>
        <v>0</v>
      </c>
      <c r="ES50" s="214">
        <f t="shared" si="398"/>
        <v>0</v>
      </c>
      <c r="ET50" s="214">
        <f t="shared" si="398"/>
        <v>0</v>
      </c>
      <c r="EU50" s="214">
        <f t="shared" si="398"/>
        <v>0</v>
      </c>
      <c r="EV50" s="214">
        <f t="shared" si="398"/>
        <v>0</v>
      </c>
      <c r="EW50"/>
    </row>
    <row r="51" spans="2:153" ht="15.6" x14ac:dyDescent="0.3">
      <c r="B51" s="801"/>
      <c r="C51" s="769" t="s">
        <v>173</v>
      </c>
      <c r="D51" s="770"/>
      <c r="E51" s="770"/>
      <c r="F51" s="784" t="s">
        <v>145</v>
      </c>
      <c r="G51" s="785"/>
      <c r="H51" s="166"/>
      <c r="I51" s="183">
        <f t="shared" ref="I51:O51" si="399">I41/1000</f>
        <v>5.0738700000000003</v>
      </c>
      <c r="J51" s="183">
        <f t="shared" si="399"/>
        <v>4.0803200000000004</v>
      </c>
      <c r="K51" s="183">
        <f t="shared" si="399"/>
        <v>3.6912500000000001</v>
      </c>
      <c r="L51" s="183">
        <f t="shared" si="399"/>
        <v>4.36477</v>
      </c>
      <c r="M51" s="183">
        <f t="shared" si="399"/>
        <v>2.5482100000000001</v>
      </c>
      <c r="N51" s="183">
        <f t="shared" si="399"/>
        <v>0.41883999999999999</v>
      </c>
      <c r="O51" s="184">
        <f t="shared" si="399"/>
        <v>0.41843999999999998</v>
      </c>
      <c r="P51" s="172"/>
      <c r="Q51" s="185">
        <f t="shared" ref="Q51:W51" si="400">Q41/1000</f>
        <v>3.7756500000000002</v>
      </c>
      <c r="R51" s="183">
        <f t="shared" si="400"/>
        <v>3.2280300000000004</v>
      </c>
      <c r="S51" s="183">
        <f t="shared" si="400"/>
        <v>3.84612</v>
      </c>
      <c r="T51" s="183">
        <f t="shared" si="400"/>
        <v>3.7414899999999998</v>
      </c>
      <c r="U51" s="183">
        <f t="shared" si="400"/>
        <v>2.4851000000000001</v>
      </c>
      <c r="V51" s="183">
        <f t="shared" si="400"/>
        <v>0.73497999999999997</v>
      </c>
      <c r="W51" s="183">
        <f t="shared" si="400"/>
        <v>0.36987999999999999</v>
      </c>
      <c r="X51" s="172"/>
      <c r="Y51" s="183">
        <f t="shared" ref="Y51:AE51" si="401">Y41/1000</f>
        <v>2.4106199999999998</v>
      </c>
      <c r="Z51" s="183">
        <f t="shared" si="401"/>
        <v>4.80307</v>
      </c>
      <c r="AA51" s="183">
        <f t="shared" si="401"/>
        <v>3.7246100000000002</v>
      </c>
      <c r="AB51" s="183">
        <f t="shared" si="401"/>
        <v>3.4228299999999998</v>
      </c>
      <c r="AC51" s="183">
        <f t="shared" si="401"/>
        <v>3.8578200000000002</v>
      </c>
      <c r="AD51" s="183">
        <f t="shared" si="401"/>
        <v>0.50544</v>
      </c>
      <c r="AE51" s="183">
        <f t="shared" si="401"/>
        <v>0.44800000000000001</v>
      </c>
      <c r="AG51" s="183">
        <f t="shared" ref="AG51:AM51" si="402">AG41/1000</f>
        <v>4.6011899999999999</v>
      </c>
      <c r="AH51" s="183">
        <f t="shared" si="402"/>
        <v>3.7269200000000002</v>
      </c>
      <c r="AI51" s="183">
        <f t="shared" si="402"/>
        <v>4.6180399999999997</v>
      </c>
      <c r="AJ51" s="183">
        <f t="shared" si="402"/>
        <v>2.6798899999999999</v>
      </c>
      <c r="AK51" s="183">
        <f t="shared" si="402"/>
        <v>0.44907999999999998</v>
      </c>
      <c r="AL51" s="183">
        <f t="shared" si="402"/>
        <v>0.33585000000000004</v>
      </c>
      <c r="AM51" s="183">
        <f t="shared" si="402"/>
        <v>0.25619999999999998</v>
      </c>
      <c r="AO51" s="183">
        <f t="shared" ref="AO51:AU51" si="403">AO41/1000</f>
        <v>0.26745999999999998</v>
      </c>
      <c r="AP51" s="183">
        <f t="shared" si="403"/>
        <v>4.5895600000000005</v>
      </c>
      <c r="AQ51" s="183">
        <f t="shared" si="403"/>
        <v>3.7490399999999999</v>
      </c>
      <c r="AR51" s="183">
        <f t="shared" si="403"/>
        <v>3.9185400000000001</v>
      </c>
      <c r="AS51" s="183">
        <f t="shared" si="403"/>
        <v>0.76221000000000005</v>
      </c>
      <c r="AT51" s="183">
        <f t="shared" si="403"/>
        <v>0.41123000000000004</v>
      </c>
      <c r="AU51" s="183">
        <f t="shared" si="403"/>
        <v>0.38724999999999998</v>
      </c>
      <c r="AW51" s="214">
        <f t="shared" ref="AW51:BC51" si="404">AW41/1000</f>
        <v>0</v>
      </c>
      <c r="AX51" s="183">
        <f t="shared" si="404"/>
        <v>3.5083000000000002</v>
      </c>
      <c r="AY51" s="183">
        <f t="shared" si="404"/>
        <v>4.5280899999999997</v>
      </c>
      <c r="AZ51" s="183">
        <f t="shared" si="404"/>
        <v>3.2429600000000001</v>
      </c>
      <c r="BA51" s="183">
        <f t="shared" si="404"/>
        <v>0.47874</v>
      </c>
      <c r="BB51" s="183">
        <f t="shared" si="404"/>
        <v>0.32791000000000003</v>
      </c>
      <c r="BC51" s="215">
        <f t="shared" si="404"/>
        <v>0.33194000000000001</v>
      </c>
      <c r="BE51" s="183">
        <f t="shared" ref="BE51:BK51" si="405">BE41/1000</f>
        <v>4.8312299999999997</v>
      </c>
      <c r="BF51" s="183">
        <f t="shared" si="405"/>
        <v>4.4904500000000001</v>
      </c>
      <c r="BG51" s="183">
        <f t="shared" si="405"/>
        <v>3.70581</v>
      </c>
      <c r="BH51" s="183">
        <f t="shared" si="405"/>
        <v>3.46828</v>
      </c>
      <c r="BI51" s="183">
        <f t="shared" si="405"/>
        <v>1.0604</v>
      </c>
      <c r="BJ51" s="183">
        <f t="shared" si="405"/>
        <v>0.29794999999999999</v>
      </c>
      <c r="BK51" s="183">
        <f t="shared" si="405"/>
        <v>0.32636000000000004</v>
      </c>
      <c r="BM51" s="214">
        <f t="shared" ref="BM51:BS51" si="406">BM41/1000</f>
        <v>4.7261499999999996</v>
      </c>
      <c r="BN51" s="183">
        <f t="shared" si="406"/>
        <v>2.9813899999999998</v>
      </c>
      <c r="BO51" s="183">
        <f t="shared" si="406"/>
        <v>4.1565799999999999</v>
      </c>
      <c r="BP51" s="183">
        <f t="shared" si="406"/>
        <v>3.20234</v>
      </c>
      <c r="BQ51" s="183">
        <f t="shared" si="406"/>
        <v>0.73859000000000008</v>
      </c>
      <c r="BR51" s="183">
        <f t="shared" si="406"/>
        <v>0.32004000000000005</v>
      </c>
      <c r="BS51" s="215">
        <f t="shared" si="406"/>
        <v>0.35675000000000001</v>
      </c>
      <c r="BV51" s="214">
        <f t="shared" ref="BV51:CB51" si="407">BV41/1000</f>
        <v>4.36538</v>
      </c>
      <c r="BW51" s="183">
        <f t="shared" si="407"/>
        <v>4.2250399999999999</v>
      </c>
      <c r="BX51" s="183">
        <f t="shared" si="407"/>
        <v>2.7706300000000001</v>
      </c>
      <c r="BY51" s="183">
        <f t="shared" si="407"/>
        <v>3.1429999999999998</v>
      </c>
      <c r="BZ51" s="183">
        <f t="shared" si="407"/>
        <v>1.3426199999999999</v>
      </c>
      <c r="CA51" s="183">
        <f t="shared" si="407"/>
        <v>0.28100000000000003</v>
      </c>
      <c r="CB51" s="215">
        <f t="shared" si="407"/>
        <v>0.28476000000000001</v>
      </c>
      <c r="CE51" s="214">
        <f t="shared" ref="CE51:CK51" si="408">CE41/1000</f>
        <v>3.8376999999999999</v>
      </c>
      <c r="CF51" s="183">
        <f t="shared" si="408"/>
        <v>3.2720400000000001</v>
      </c>
      <c r="CG51" s="183">
        <f t="shared" si="408"/>
        <v>5.2316599999999998</v>
      </c>
      <c r="CH51" s="183">
        <f t="shared" si="408"/>
        <v>3.4635100000000003</v>
      </c>
      <c r="CI51" s="183">
        <f t="shared" si="408"/>
        <v>0.50900000000000001</v>
      </c>
      <c r="CJ51" s="183">
        <f t="shared" si="408"/>
        <v>0.39100000000000001</v>
      </c>
      <c r="CK51" s="215">
        <f t="shared" si="408"/>
        <v>0.32400000000000001</v>
      </c>
      <c r="CN51" s="214">
        <f t="shared" ref="CN51:CT51" si="409">CN41/1000</f>
        <v>0.35899999999999999</v>
      </c>
      <c r="CO51" s="183">
        <f t="shared" si="409"/>
        <v>4.7074300000000004</v>
      </c>
      <c r="CP51" s="183">
        <f t="shared" si="409"/>
        <v>6.7481299999999997</v>
      </c>
      <c r="CQ51" s="183">
        <f t="shared" si="409"/>
        <v>3.7849400000000002</v>
      </c>
      <c r="CR51" s="183">
        <f t="shared" si="409"/>
        <v>2.41493</v>
      </c>
      <c r="CS51" s="183">
        <f t="shared" si="409"/>
        <v>0.45845999999999998</v>
      </c>
      <c r="CT51" s="215">
        <f t="shared" si="409"/>
        <v>0.42685000000000001</v>
      </c>
      <c r="CW51" s="214">
        <f t="shared" ref="CW51:DC51" si="410">CW41/1000</f>
        <v>5.6113</v>
      </c>
      <c r="CX51" s="183">
        <f t="shared" si="410"/>
        <v>4.49505</v>
      </c>
      <c r="CY51" s="183">
        <f t="shared" si="410"/>
        <v>4.4491199999999997</v>
      </c>
      <c r="CZ51" s="183">
        <f t="shared" si="410"/>
        <v>4.8816499999999996</v>
      </c>
      <c r="DA51" s="183">
        <f t="shared" si="410"/>
        <v>2.4220199999999998</v>
      </c>
      <c r="DB51" s="183">
        <f t="shared" si="410"/>
        <v>0.51273000000000002</v>
      </c>
      <c r="DC51" s="215">
        <f t="shared" si="410"/>
        <v>0.441</v>
      </c>
      <c r="DF51" s="214">
        <f t="shared" ref="DF51:DL51" si="411">DF41/1000</f>
        <v>4.6278800000000002</v>
      </c>
      <c r="DG51" s="183">
        <f t="shared" si="411"/>
        <v>2.2438800000000003</v>
      </c>
      <c r="DH51" s="183">
        <f t="shared" si="411"/>
        <v>3.8151199999999998</v>
      </c>
      <c r="DI51" s="183">
        <f t="shared" si="411"/>
        <v>2.2860800000000001</v>
      </c>
      <c r="DJ51" s="183">
        <f t="shared" si="411"/>
        <v>0</v>
      </c>
      <c r="DK51" s="183">
        <f t="shared" si="411"/>
        <v>0</v>
      </c>
      <c r="DL51" s="215">
        <f t="shared" si="411"/>
        <v>0</v>
      </c>
      <c r="DO51" s="214">
        <f t="shared" ref="DO51:DU51" si="412">DO41/1000</f>
        <v>0</v>
      </c>
      <c r="DP51" s="183">
        <f t="shared" si="412"/>
        <v>0</v>
      </c>
      <c r="DQ51" s="183">
        <f t="shared" si="412"/>
        <v>0</v>
      </c>
      <c r="DR51" s="183">
        <f t="shared" si="412"/>
        <v>0</v>
      </c>
      <c r="DS51" s="183">
        <f t="shared" si="412"/>
        <v>0</v>
      </c>
      <c r="DT51" s="183">
        <f t="shared" si="412"/>
        <v>5.6090000000000001E-2</v>
      </c>
      <c r="DU51" s="215">
        <f t="shared" si="412"/>
        <v>2.1430000000000001E-2</v>
      </c>
      <c r="DX51" s="214">
        <f t="shared" ref="DX51:ED51" si="413">DX41/1000</f>
        <v>8.9520000000000002E-2</v>
      </c>
      <c r="DY51" s="183">
        <f t="shared" si="413"/>
        <v>0.1671</v>
      </c>
      <c r="DZ51" s="183">
        <f t="shared" si="413"/>
        <v>5.0449799999999998</v>
      </c>
      <c r="EA51" s="183">
        <f t="shared" si="413"/>
        <v>6.77407</v>
      </c>
      <c r="EB51" s="183">
        <f t="shared" si="413"/>
        <v>0</v>
      </c>
      <c r="EC51" s="183">
        <f t="shared" si="413"/>
        <v>0</v>
      </c>
      <c r="ED51" s="215">
        <f t="shared" si="413"/>
        <v>0</v>
      </c>
      <c r="EG51" s="214">
        <f t="shared" ref="EG51:EM51" si="414">EG41/1000</f>
        <v>0</v>
      </c>
      <c r="EH51" s="183">
        <f t="shared" si="414"/>
        <v>0</v>
      </c>
      <c r="EI51" s="183">
        <f t="shared" si="414"/>
        <v>0</v>
      </c>
      <c r="EJ51" s="183">
        <f t="shared" si="414"/>
        <v>0</v>
      </c>
      <c r="EK51" s="183">
        <f t="shared" si="414"/>
        <v>0</v>
      </c>
      <c r="EL51" s="183">
        <f t="shared" si="414"/>
        <v>0</v>
      </c>
      <c r="EM51" s="215">
        <f t="shared" si="414"/>
        <v>0</v>
      </c>
      <c r="EN51"/>
      <c r="EP51" s="214">
        <f t="shared" ref="EP51:EV51" si="415">EP41/1000</f>
        <v>0</v>
      </c>
      <c r="EQ51" s="183">
        <f t="shared" si="415"/>
        <v>0</v>
      </c>
      <c r="ER51" s="183">
        <f t="shared" si="415"/>
        <v>0</v>
      </c>
      <c r="ES51" s="183">
        <f t="shared" si="415"/>
        <v>0</v>
      </c>
      <c r="ET51" s="183">
        <f t="shared" si="415"/>
        <v>0</v>
      </c>
      <c r="EU51" s="183">
        <f t="shared" si="415"/>
        <v>0</v>
      </c>
      <c r="EV51" s="215">
        <f t="shared" si="415"/>
        <v>0</v>
      </c>
      <c r="EW51"/>
    </row>
    <row r="52" spans="2:153" ht="15.6" x14ac:dyDescent="0.3">
      <c r="B52" s="801"/>
      <c r="C52" s="769" t="s">
        <v>174</v>
      </c>
      <c r="D52" s="770"/>
      <c r="E52" s="770"/>
      <c r="F52" s="784" t="s">
        <v>175</v>
      </c>
      <c r="G52" s="785"/>
      <c r="H52" s="166"/>
      <c r="I52" s="183">
        <f t="shared" ref="I52:O52" si="416">I42/I39</f>
        <v>0.97667224653216245</v>
      </c>
      <c r="J52" s="183">
        <f t="shared" si="416"/>
        <v>1.0061356664015453</v>
      </c>
      <c r="K52" s="183">
        <f t="shared" si="416"/>
        <v>1.0830578512396694</v>
      </c>
      <c r="L52" s="183">
        <f t="shared" si="416"/>
        <v>1.1789634146341466</v>
      </c>
      <c r="M52" s="183">
        <f t="shared" si="416"/>
        <v>1.1547821165817769</v>
      </c>
      <c r="N52" s="183" t="e">
        <f t="shared" si="416"/>
        <v>#DIV/0!</v>
      </c>
      <c r="O52" s="184" t="e">
        <f t="shared" si="416"/>
        <v>#DIV/0!</v>
      </c>
      <c r="P52" s="172"/>
      <c r="Q52" s="185">
        <f t="shared" ref="Q52:W52" si="417">Q42/Q39</f>
        <v>0.90846501128668167</v>
      </c>
      <c r="R52" s="183">
        <f t="shared" si="417"/>
        <v>0.97564642212868313</v>
      </c>
      <c r="S52" s="183">
        <f t="shared" si="417"/>
        <v>1.2224228743416103</v>
      </c>
      <c r="T52" s="183">
        <f t="shared" si="417"/>
        <v>1.4560578661844485</v>
      </c>
      <c r="U52" s="183" t="e">
        <f t="shared" si="417"/>
        <v>#DIV/0!</v>
      </c>
      <c r="V52" s="183" t="e">
        <f t="shared" si="417"/>
        <v>#DIV/0!</v>
      </c>
      <c r="W52" s="183" t="e">
        <f t="shared" si="417"/>
        <v>#DIV/0!</v>
      </c>
      <c r="X52" s="172"/>
      <c r="Y52" s="183">
        <f t="shared" ref="Y52:AE52" si="418">Y42/Y39</f>
        <v>1.1810020876826723</v>
      </c>
      <c r="Z52" s="183">
        <f t="shared" si="418"/>
        <v>1.1664974619289341</v>
      </c>
      <c r="AA52" s="183">
        <f t="shared" si="418"/>
        <v>1.1247566063977747</v>
      </c>
      <c r="AB52" s="183">
        <f t="shared" si="418"/>
        <v>1.331104921077066</v>
      </c>
      <c r="AC52" s="183">
        <f t="shared" si="418"/>
        <v>0.71086433542400551</v>
      </c>
      <c r="AD52" s="183">
        <f t="shared" si="418"/>
        <v>1.0619047619047619</v>
      </c>
      <c r="AE52" s="183" t="e">
        <f t="shared" si="418"/>
        <v>#DIV/0!</v>
      </c>
      <c r="AG52" s="183">
        <f t="shared" ref="AG52:AM52" si="419">AG42/AG39</f>
        <v>1.5446570972886762</v>
      </c>
      <c r="AH52" s="183">
        <f t="shared" si="419"/>
        <v>0.80490217630248406</v>
      </c>
      <c r="AI52" s="183">
        <f t="shared" si="419"/>
        <v>0.95399944128876046</v>
      </c>
      <c r="AJ52" s="183">
        <f t="shared" si="419"/>
        <v>0.90225988700564963</v>
      </c>
      <c r="AK52" s="183" t="e">
        <f t="shared" si="419"/>
        <v>#DIV/0!</v>
      </c>
      <c r="AL52" s="183" t="e">
        <f t="shared" si="419"/>
        <v>#DIV/0!</v>
      </c>
      <c r="AM52" s="183" t="e">
        <f t="shared" si="419"/>
        <v>#DIV/0!</v>
      </c>
      <c r="AO52" s="183" t="e">
        <f t="shared" ref="AO52:AU52" si="420">AO42/AO39</f>
        <v>#DIV/0!</v>
      </c>
      <c r="AP52" s="183">
        <f t="shared" si="420"/>
        <v>0.91106870229007642</v>
      </c>
      <c r="AQ52" s="183">
        <f t="shared" si="420"/>
        <v>0.97407407407407409</v>
      </c>
      <c r="AR52" s="183">
        <f t="shared" si="420"/>
        <v>1.1128686327077748</v>
      </c>
      <c r="AS52" s="183">
        <f t="shared" si="420"/>
        <v>0.13213455000894614</v>
      </c>
      <c r="AT52" s="183" t="e">
        <f t="shared" si="420"/>
        <v>#DIV/0!</v>
      </c>
      <c r="AU52" s="183" t="e">
        <f t="shared" si="420"/>
        <v>#DIV/0!</v>
      </c>
      <c r="AW52" s="214">
        <f t="shared" ref="AW52:BC52" si="421">AW42/AW39</f>
        <v>0</v>
      </c>
      <c r="AX52" s="183">
        <f t="shared" si="421"/>
        <v>1.3768949648077964</v>
      </c>
      <c r="AY52" s="183">
        <f t="shared" si="421"/>
        <v>0.80681818181818177</v>
      </c>
      <c r="AZ52" s="183">
        <f t="shared" si="421"/>
        <v>1.3989775051124744</v>
      </c>
      <c r="BA52" s="183" t="e">
        <f t="shared" si="421"/>
        <v>#DIV/0!</v>
      </c>
      <c r="BB52" s="183" t="e">
        <f t="shared" si="421"/>
        <v>#DIV/0!</v>
      </c>
      <c r="BC52" s="215" t="e">
        <f t="shared" si="421"/>
        <v>#DIV/0!</v>
      </c>
      <c r="BE52" s="183">
        <f t="shared" ref="BE52:BK52" si="422">BE42/BE39</f>
        <v>0.94009852216748768</v>
      </c>
      <c r="BF52" s="183">
        <f t="shared" si="422"/>
        <v>1.0208640435423517</v>
      </c>
      <c r="BG52" s="183" t="e">
        <f t="shared" si="422"/>
        <v>#DIV/0!</v>
      </c>
      <c r="BH52" s="183">
        <f t="shared" si="422"/>
        <v>0.93977086743044191</v>
      </c>
      <c r="BI52" s="183" t="e">
        <f t="shared" si="422"/>
        <v>#DIV/0!</v>
      </c>
      <c r="BJ52" s="183" t="e">
        <f t="shared" si="422"/>
        <v>#DIV/0!</v>
      </c>
      <c r="BK52" s="183" t="e">
        <f t="shared" si="422"/>
        <v>#DIV/0!</v>
      </c>
      <c r="BM52" s="214">
        <f t="shared" ref="BM52:BS52" si="423">BM42/BM39</f>
        <v>0.97297008547008546</v>
      </c>
      <c r="BN52" s="183">
        <f t="shared" si="423"/>
        <v>0.92930402930402933</v>
      </c>
      <c r="BO52" s="183">
        <f t="shared" si="423"/>
        <v>1.0160935350756535</v>
      </c>
      <c r="BP52" s="183">
        <f t="shared" si="423"/>
        <v>1.2136465324384786</v>
      </c>
      <c r="BQ52" s="183" t="e">
        <f t="shared" si="423"/>
        <v>#DIV/0!</v>
      </c>
      <c r="BR52" s="183" t="e">
        <f t="shared" si="423"/>
        <v>#DIV/0!</v>
      </c>
      <c r="BS52" s="215" t="e">
        <f t="shared" si="423"/>
        <v>#DIV/0!</v>
      </c>
      <c r="BV52" s="214">
        <f t="shared" ref="BV52:CB52" si="424">BV42/BV39</f>
        <v>0.8848387096774194</v>
      </c>
      <c r="BW52" s="183">
        <f t="shared" si="424"/>
        <v>0.6958415841584159</v>
      </c>
      <c r="BX52" s="183">
        <f t="shared" si="424"/>
        <v>1.1489247311827955</v>
      </c>
      <c r="BY52" s="183">
        <f t="shared" si="424"/>
        <v>0.60665362035225046</v>
      </c>
      <c r="BZ52" s="183">
        <f t="shared" si="424"/>
        <v>2.7692307692307692</v>
      </c>
      <c r="CA52" s="183" t="e">
        <f t="shared" si="424"/>
        <v>#DIV/0!</v>
      </c>
      <c r="CB52" s="215" t="e">
        <f t="shared" si="424"/>
        <v>#DIV/0!</v>
      </c>
      <c r="CE52" s="214">
        <f t="shared" ref="CE52:CK52" si="425">CE42/CE39</f>
        <v>0.86333333333333329</v>
      </c>
      <c r="CF52" s="183">
        <f t="shared" si="425"/>
        <v>0.72877906976744189</v>
      </c>
      <c r="CG52" s="183">
        <f t="shared" si="425"/>
        <v>0.77657992565055767</v>
      </c>
      <c r="CH52" s="183">
        <f t="shared" si="425"/>
        <v>0.73291925465838503</v>
      </c>
      <c r="CI52" s="183" t="e">
        <f t="shared" si="425"/>
        <v>#DIV/0!</v>
      </c>
      <c r="CJ52" s="183" t="e">
        <f t="shared" si="425"/>
        <v>#DIV/0!</v>
      </c>
      <c r="CK52" s="215" t="e">
        <f t="shared" si="425"/>
        <v>#DIV/0!</v>
      </c>
      <c r="CN52" s="214" t="e">
        <f t="shared" ref="CN52:CT52" si="426">CN42/CN39</f>
        <v>#DIV/0!</v>
      </c>
      <c r="CO52" s="183">
        <f t="shared" si="426"/>
        <v>0.8615769984752778</v>
      </c>
      <c r="CP52" s="183">
        <f t="shared" si="426"/>
        <v>0.51061946902654864</v>
      </c>
      <c r="CQ52" s="183">
        <f t="shared" si="426"/>
        <v>0.6241164241164241</v>
      </c>
      <c r="CR52" s="183">
        <f t="shared" si="426"/>
        <v>1.4921568627450978</v>
      </c>
      <c r="CS52" s="183" t="e">
        <f t="shared" si="426"/>
        <v>#DIV/0!</v>
      </c>
      <c r="CT52" s="215" t="e">
        <f t="shared" si="426"/>
        <v>#DIV/0!</v>
      </c>
      <c r="CW52" s="214">
        <f t="shared" ref="CW52:DC52" si="427">CW42/CW39</f>
        <v>0.70896601590744746</v>
      </c>
      <c r="CX52" s="183">
        <f t="shared" si="427"/>
        <v>0.73173828125000007</v>
      </c>
      <c r="CY52" s="183">
        <f t="shared" si="427"/>
        <v>0.72103688933200394</v>
      </c>
      <c r="CZ52" s="183" t="e">
        <f t="shared" si="427"/>
        <v>#DIV/0!</v>
      </c>
      <c r="DA52" s="183" t="e">
        <f t="shared" si="427"/>
        <v>#DIV/0!</v>
      </c>
      <c r="DB52" s="183" t="e">
        <f t="shared" si="427"/>
        <v>#DIV/0!</v>
      </c>
      <c r="DC52" s="215" t="e">
        <f t="shared" si="427"/>
        <v>#DIV/0!</v>
      </c>
      <c r="DF52" s="214">
        <f t="shared" ref="DF52:DL52" si="428">DF42/DF39</f>
        <v>0.75428296438883546</v>
      </c>
      <c r="DG52" s="183">
        <f t="shared" si="428"/>
        <v>1.080909090909091</v>
      </c>
      <c r="DH52" s="183">
        <f t="shared" si="428"/>
        <v>0.81015514809590961</v>
      </c>
      <c r="DI52" s="183" t="e">
        <f t="shared" si="428"/>
        <v>#DIV/0!</v>
      </c>
      <c r="DJ52" s="183" t="e">
        <f t="shared" si="428"/>
        <v>#DIV/0!</v>
      </c>
      <c r="DK52" s="183" t="e">
        <f t="shared" si="428"/>
        <v>#DIV/0!</v>
      </c>
      <c r="DL52" s="215" t="e">
        <f t="shared" si="428"/>
        <v>#DIV/0!</v>
      </c>
      <c r="DO52" s="214" t="e">
        <f t="shared" ref="DO52:DU52" si="429">DO42/DO39</f>
        <v>#DIV/0!</v>
      </c>
      <c r="DP52" s="183" t="e">
        <f t="shared" si="429"/>
        <v>#DIV/0!</v>
      </c>
      <c r="DQ52" s="183" t="e">
        <f t="shared" si="429"/>
        <v>#DIV/0!</v>
      </c>
      <c r="DR52" s="183" t="e">
        <f t="shared" si="429"/>
        <v>#DIV/0!</v>
      </c>
      <c r="DS52" s="183" t="e">
        <f t="shared" si="429"/>
        <v>#DIV/0!</v>
      </c>
      <c r="DT52" s="183" t="e">
        <f t="shared" si="429"/>
        <v>#DIV/0!</v>
      </c>
      <c r="DU52" s="215" t="e">
        <f t="shared" si="429"/>
        <v>#DIV/0!</v>
      </c>
      <c r="DX52" s="214">
        <f>IF(ISNUMBER(DX39),DX42/DX39,)</f>
        <v>0</v>
      </c>
      <c r="DY52" s="214">
        <f t="shared" ref="DY52:ED52" si="430">IF(ISNUMBER(DY39),DY42/DY39,)</f>
        <v>0</v>
      </c>
      <c r="DZ52" s="214">
        <f t="shared" si="430"/>
        <v>1.0189448441247002</v>
      </c>
      <c r="EA52" s="214">
        <f t="shared" si="430"/>
        <v>1.2195443645083932</v>
      </c>
      <c r="EB52" s="214">
        <f t="shared" si="430"/>
        <v>0</v>
      </c>
      <c r="EC52" s="214">
        <f t="shared" si="430"/>
        <v>0</v>
      </c>
      <c r="ED52" s="214">
        <f t="shared" si="430"/>
        <v>0</v>
      </c>
      <c r="EG52" s="214">
        <f>IF(ISNUMBER(EG39),EG42/EG39,)</f>
        <v>0</v>
      </c>
      <c r="EH52" s="214">
        <f t="shared" ref="EH52:EM52" si="431">IF(ISNUMBER(EH39),EH42/EH39,)</f>
        <v>0</v>
      </c>
      <c r="EI52" s="214">
        <f t="shared" si="431"/>
        <v>0</v>
      </c>
      <c r="EJ52" s="214">
        <f t="shared" si="431"/>
        <v>0</v>
      </c>
      <c r="EK52" s="214">
        <f t="shared" si="431"/>
        <v>0</v>
      </c>
      <c r="EL52" s="214">
        <f t="shared" si="431"/>
        <v>0</v>
      </c>
      <c r="EM52" s="214">
        <f t="shared" si="431"/>
        <v>0</v>
      </c>
      <c r="EN52"/>
      <c r="EP52" s="214">
        <f>IF(ISNUMBER(EP39),EP42/EP39,)</f>
        <v>0</v>
      </c>
      <c r="EQ52" s="214">
        <f t="shared" ref="EQ52:EV52" si="432">IF(ISNUMBER(EQ39),EQ42/EQ39,)</f>
        <v>0</v>
      </c>
      <c r="ER52" s="214">
        <f t="shared" si="432"/>
        <v>0</v>
      </c>
      <c r="ES52" s="214">
        <f t="shared" si="432"/>
        <v>0</v>
      </c>
      <c r="ET52" s="214">
        <f t="shared" si="432"/>
        <v>0</v>
      </c>
      <c r="EU52" s="214">
        <f t="shared" si="432"/>
        <v>0</v>
      </c>
      <c r="EV52" s="214">
        <f t="shared" si="432"/>
        <v>0</v>
      </c>
      <c r="EW52"/>
    </row>
    <row r="53" spans="2:153" ht="15.6" x14ac:dyDescent="0.3">
      <c r="B53" s="801"/>
      <c r="C53" s="769" t="s">
        <v>176</v>
      </c>
      <c r="D53" s="770"/>
      <c r="E53" s="770"/>
      <c r="F53" s="784" t="s">
        <v>177</v>
      </c>
      <c r="G53" s="785"/>
      <c r="H53" s="166"/>
      <c r="I53" s="183">
        <f t="shared" ref="I53:O53" si="433">I43/I39</f>
        <v>0.59254255871095318</v>
      </c>
      <c r="J53" s="183">
        <f t="shared" si="433"/>
        <v>0.56720827178729694</v>
      </c>
      <c r="K53" s="183">
        <f t="shared" si="433"/>
        <v>0.70206611570247934</v>
      </c>
      <c r="L53" s="183">
        <f t="shared" si="433"/>
        <v>0.75762195121951226</v>
      </c>
      <c r="M53" s="183">
        <f t="shared" si="433"/>
        <v>0.96661007357102413</v>
      </c>
      <c r="N53" s="183" t="e">
        <f t="shared" si="433"/>
        <v>#DIV/0!</v>
      </c>
      <c r="O53" s="184" t="e">
        <f t="shared" si="433"/>
        <v>#DIV/0!</v>
      </c>
      <c r="P53" s="172"/>
      <c r="Q53" s="185">
        <f t="shared" ref="Q53:W53" si="434">Q43/Q39</f>
        <v>0.5950338600451468</v>
      </c>
      <c r="R53" s="183">
        <f t="shared" si="434"/>
        <v>0.67607828130979064</v>
      </c>
      <c r="S53" s="183">
        <f t="shared" si="434"/>
        <v>0.76945071482317529</v>
      </c>
      <c r="T53" s="183">
        <f t="shared" si="434"/>
        <v>0.82766726943942148</v>
      </c>
      <c r="U53" s="183" t="e">
        <f t="shared" si="434"/>
        <v>#DIV/0!</v>
      </c>
      <c r="V53" s="183" t="e">
        <f t="shared" si="434"/>
        <v>#DIV/0!</v>
      </c>
      <c r="W53" s="183" t="e">
        <f t="shared" si="434"/>
        <v>#DIV/0!</v>
      </c>
      <c r="X53" s="172"/>
      <c r="Y53" s="183">
        <f t="shared" ref="Y53:AE53" si="435">Y43/Y39</f>
        <v>0.86826722338204598</v>
      </c>
      <c r="Z53" s="183">
        <f t="shared" si="435"/>
        <v>0.58743654822335023</v>
      </c>
      <c r="AA53" s="183">
        <f t="shared" si="435"/>
        <v>0.81961057023643946</v>
      </c>
      <c r="AB53" s="183">
        <f t="shared" si="435"/>
        <v>1.0440111420612812</v>
      </c>
      <c r="AC53" s="183">
        <f t="shared" si="435"/>
        <v>0.47953002835295128</v>
      </c>
      <c r="AD53" s="183">
        <f t="shared" si="435"/>
        <v>8.5761904761904759</v>
      </c>
      <c r="AE53" s="183" t="e">
        <f t="shared" si="435"/>
        <v>#DIV/0!</v>
      </c>
      <c r="AG53" s="183">
        <f t="shared" ref="AG53:AM53" si="436">AG43/AG39</f>
        <v>0.88867623604465706</v>
      </c>
      <c r="AH53" s="183">
        <f t="shared" si="436"/>
        <v>0.53220488019344914</v>
      </c>
      <c r="AI53" s="183">
        <f t="shared" si="436"/>
        <v>0.71817673898873269</v>
      </c>
      <c r="AJ53" s="183">
        <f t="shared" si="436"/>
        <v>0.70018832391713748</v>
      </c>
      <c r="AK53" s="183" t="e">
        <f t="shared" si="436"/>
        <v>#DIV/0!</v>
      </c>
      <c r="AL53" s="183" t="e">
        <f t="shared" si="436"/>
        <v>#DIV/0!</v>
      </c>
      <c r="AM53" s="183" t="e">
        <f t="shared" si="436"/>
        <v>#DIV/0!</v>
      </c>
      <c r="AO53" s="183" t="e">
        <f t="shared" ref="AO53:AU53" si="437">AO43/AO39</f>
        <v>#DIV/0!</v>
      </c>
      <c r="AP53" s="183">
        <f t="shared" si="437"/>
        <v>0.71278625954198482</v>
      </c>
      <c r="AQ53" s="183">
        <f t="shared" si="437"/>
        <v>0.60204342273307798</v>
      </c>
      <c r="AR53" s="183">
        <f t="shared" si="437"/>
        <v>0.63646112600536198</v>
      </c>
      <c r="AS53" s="183">
        <f t="shared" si="437"/>
        <v>0.22633744855967078</v>
      </c>
      <c r="AT53" s="183" t="e">
        <f t="shared" si="437"/>
        <v>#DIV/0!</v>
      </c>
      <c r="AU53" s="183" t="e">
        <f t="shared" si="437"/>
        <v>#DIV/0!</v>
      </c>
      <c r="AW53" s="214">
        <f t="shared" ref="AW53:BC53" si="438">AW43/AW39</f>
        <v>0.4001592673700976</v>
      </c>
      <c r="AX53" s="183">
        <f t="shared" si="438"/>
        <v>0.68371007038440712</v>
      </c>
      <c r="AY53" s="183">
        <f t="shared" si="438"/>
        <v>0.42872727272727268</v>
      </c>
      <c r="AZ53" s="183">
        <f t="shared" si="438"/>
        <v>0.79959100204498978</v>
      </c>
      <c r="BA53" s="183" t="e">
        <f t="shared" si="438"/>
        <v>#DIV/0!</v>
      </c>
      <c r="BB53" s="183" t="e">
        <f t="shared" si="438"/>
        <v>#DIV/0!</v>
      </c>
      <c r="BC53" s="215" t="e">
        <f t="shared" si="438"/>
        <v>#DIV/0!</v>
      </c>
      <c r="BE53" s="183">
        <f t="shared" ref="BE53:BK53" si="439">BE43/BE39</f>
        <v>0.61093596059113298</v>
      </c>
      <c r="BF53" s="183">
        <f t="shared" si="439"/>
        <v>0.57999773216918016</v>
      </c>
      <c r="BG53" s="183" t="e">
        <f t="shared" si="439"/>
        <v>#DIV/0!</v>
      </c>
      <c r="BH53" s="183">
        <f t="shared" si="439"/>
        <v>0.80523731587561376</v>
      </c>
      <c r="BI53" s="183" t="e">
        <f t="shared" si="439"/>
        <v>#DIV/0!</v>
      </c>
      <c r="BJ53" s="183" t="e">
        <f t="shared" si="439"/>
        <v>#DIV/0!</v>
      </c>
      <c r="BK53" s="183" t="e">
        <f t="shared" si="439"/>
        <v>#DIV/0!</v>
      </c>
      <c r="BM53" s="214">
        <f t="shared" ref="BM53:BS53" si="440">BM43/BM39</f>
        <v>0.62938034188034186</v>
      </c>
      <c r="BN53" s="183">
        <f t="shared" si="440"/>
        <v>0.89102564102564097</v>
      </c>
      <c r="BO53" s="183">
        <f t="shared" si="440"/>
        <v>0.70426409903713894</v>
      </c>
      <c r="BP53" s="183">
        <f t="shared" si="440"/>
        <v>0.94161073825503361</v>
      </c>
      <c r="BQ53" s="183" t="e">
        <f t="shared" si="440"/>
        <v>#DIV/0!</v>
      </c>
      <c r="BR53" s="183" t="e">
        <f t="shared" si="440"/>
        <v>#DIV/0!</v>
      </c>
      <c r="BS53" s="215" t="e">
        <f t="shared" si="440"/>
        <v>#DIV/0!</v>
      </c>
      <c r="BV53" s="214">
        <f t="shared" ref="BV53:CB53" si="441">BV43/BV39</f>
        <v>0.63709677419354838</v>
      </c>
      <c r="BW53" s="183">
        <f t="shared" si="441"/>
        <v>0.48990099009900989</v>
      </c>
      <c r="BX53" s="183">
        <f t="shared" si="441"/>
        <v>1.1604838709677419</v>
      </c>
      <c r="BY53" s="183">
        <f t="shared" si="441"/>
        <v>0.48590998043052835</v>
      </c>
      <c r="BZ53" s="183">
        <f t="shared" si="441"/>
        <v>3.5430769230769235</v>
      </c>
      <c r="CA53" s="183" t="e">
        <f t="shared" si="441"/>
        <v>#DIV/0!</v>
      </c>
      <c r="CB53" s="215" t="e">
        <f t="shared" si="441"/>
        <v>#DIV/0!</v>
      </c>
      <c r="CE53" s="214">
        <f t="shared" ref="CE53:CK53" si="442">CE43/CE39</f>
        <v>0.53333333333333333</v>
      </c>
      <c r="CF53" s="183">
        <f t="shared" si="442"/>
        <v>0.60625000000000007</v>
      </c>
      <c r="CG53" s="183">
        <f t="shared" si="442"/>
        <v>0.50864312267657996</v>
      </c>
      <c r="CH53" s="183">
        <f t="shared" si="442"/>
        <v>0.56785714285714284</v>
      </c>
      <c r="CI53" s="183" t="e">
        <f t="shared" si="442"/>
        <v>#DIV/0!</v>
      </c>
      <c r="CJ53" s="183" t="e">
        <f t="shared" si="442"/>
        <v>#DIV/0!</v>
      </c>
      <c r="CK53" s="215" t="e">
        <f t="shared" si="442"/>
        <v>#DIV/0!</v>
      </c>
      <c r="CN53" s="214" t="e">
        <f t="shared" ref="CN53:CT53" si="443">CN43/CN39</f>
        <v>#DIV/0!</v>
      </c>
      <c r="CO53" s="183">
        <f t="shared" si="443"/>
        <v>0.57253321716401662</v>
      </c>
      <c r="CP53" s="183">
        <f t="shared" si="443"/>
        <v>0.34070796460176989</v>
      </c>
      <c r="CQ53" s="183">
        <f t="shared" si="443"/>
        <v>0.52796257796257795</v>
      </c>
      <c r="CR53" s="183">
        <f t="shared" si="443"/>
        <v>1.5007843137254904</v>
      </c>
      <c r="CS53" s="183" t="e">
        <f t="shared" si="443"/>
        <v>#DIV/0!</v>
      </c>
      <c r="CT53" s="215" t="e">
        <f t="shared" si="443"/>
        <v>#DIV/0!</v>
      </c>
      <c r="CW53" s="214">
        <f t="shared" ref="CW53:DC53" si="444">CW43/CW39</f>
        <v>0.45336225596529284</v>
      </c>
      <c r="CX53" s="183">
        <f t="shared" si="444"/>
        <v>0.54912109374999996</v>
      </c>
      <c r="CY53" s="183">
        <f t="shared" si="444"/>
        <v>0.57686939182452646</v>
      </c>
      <c r="CZ53" s="183" t="e">
        <f t="shared" si="444"/>
        <v>#DIV/0!</v>
      </c>
      <c r="DA53" s="183" t="e">
        <f t="shared" si="444"/>
        <v>#DIV/0!</v>
      </c>
      <c r="DB53" s="183" t="e">
        <f t="shared" si="444"/>
        <v>#DIV/0!</v>
      </c>
      <c r="DC53" s="215" t="e">
        <f t="shared" si="444"/>
        <v>#DIV/0!</v>
      </c>
      <c r="DF53" s="214">
        <f t="shared" ref="DF53:DL53" si="445">DF43/DF39</f>
        <v>0.63195380173243498</v>
      </c>
      <c r="DG53" s="183">
        <f t="shared" si="445"/>
        <v>1.0439393939393939</v>
      </c>
      <c r="DH53" s="183">
        <f t="shared" si="445"/>
        <v>0.55289139633286322</v>
      </c>
      <c r="DI53" s="183" t="e">
        <f t="shared" si="445"/>
        <v>#DIV/0!</v>
      </c>
      <c r="DJ53" s="183" t="e">
        <f t="shared" si="445"/>
        <v>#DIV/0!</v>
      </c>
      <c r="DK53" s="183" t="e">
        <f t="shared" si="445"/>
        <v>#DIV/0!</v>
      </c>
      <c r="DL53" s="215" t="e">
        <f t="shared" si="445"/>
        <v>#DIV/0!</v>
      </c>
      <c r="DO53" s="214" t="e">
        <f t="shared" ref="DO53:DU53" si="446">DO43/DO39</f>
        <v>#DIV/0!</v>
      </c>
      <c r="DP53" s="183" t="e">
        <f t="shared" si="446"/>
        <v>#DIV/0!</v>
      </c>
      <c r="DQ53" s="183" t="e">
        <f t="shared" si="446"/>
        <v>#DIV/0!</v>
      </c>
      <c r="DR53" s="183" t="e">
        <f t="shared" si="446"/>
        <v>#DIV/0!</v>
      </c>
      <c r="DS53" s="183" t="e">
        <f t="shared" si="446"/>
        <v>#DIV/0!</v>
      </c>
      <c r="DT53" s="183" t="e">
        <f t="shared" si="446"/>
        <v>#DIV/0!</v>
      </c>
      <c r="DU53" s="215" t="e">
        <f t="shared" si="446"/>
        <v>#DIV/0!</v>
      </c>
      <c r="DX53" s="214">
        <f>IF(ISNUMBER(DX39),DX43/DX39,)</f>
        <v>0</v>
      </c>
      <c r="DY53" s="214">
        <f t="shared" ref="DY53:ED53" si="447">IF(ISNUMBER(DY39),DY43/DY39,)</f>
        <v>0</v>
      </c>
      <c r="DZ53" s="214">
        <f t="shared" si="447"/>
        <v>0.71067146282973614</v>
      </c>
      <c r="EA53" s="214">
        <f t="shared" si="447"/>
        <v>0.89580335731414851</v>
      </c>
      <c r="EB53" s="214">
        <f t="shared" si="447"/>
        <v>0</v>
      </c>
      <c r="EC53" s="214">
        <f t="shared" si="447"/>
        <v>0</v>
      </c>
      <c r="ED53" s="214">
        <f t="shared" si="447"/>
        <v>0</v>
      </c>
      <c r="EG53" s="214">
        <f>IF(ISNUMBER(EG39),EG43/EG39,)</f>
        <v>0</v>
      </c>
      <c r="EH53" s="214">
        <f t="shared" ref="EH53:EM53" si="448">IF(ISNUMBER(EH39),EH43/EH39,)</f>
        <v>0</v>
      </c>
      <c r="EI53" s="214">
        <f t="shared" si="448"/>
        <v>0</v>
      </c>
      <c r="EJ53" s="214">
        <f t="shared" si="448"/>
        <v>0</v>
      </c>
      <c r="EK53" s="214">
        <f t="shared" si="448"/>
        <v>0</v>
      </c>
      <c r="EL53" s="214">
        <f t="shared" si="448"/>
        <v>0</v>
      </c>
      <c r="EM53" s="214">
        <f t="shared" si="448"/>
        <v>0</v>
      </c>
      <c r="EN53"/>
      <c r="EP53" s="214">
        <f>IF(ISNUMBER(EP39),EP43/EP39,)</f>
        <v>0</v>
      </c>
      <c r="EQ53" s="214">
        <f t="shared" ref="EQ53:EV53" si="449">IF(ISNUMBER(EQ39),EQ43/EQ39,)</f>
        <v>0</v>
      </c>
      <c r="ER53" s="214">
        <f t="shared" si="449"/>
        <v>0</v>
      </c>
      <c r="ES53" s="214">
        <f t="shared" si="449"/>
        <v>0</v>
      </c>
      <c r="ET53" s="214">
        <f t="shared" si="449"/>
        <v>0</v>
      </c>
      <c r="EU53" s="214">
        <f t="shared" si="449"/>
        <v>0</v>
      </c>
      <c r="EV53" s="214">
        <f t="shared" si="449"/>
        <v>0</v>
      </c>
      <c r="EW53"/>
    </row>
    <row r="54" spans="2:153" ht="15.6" x14ac:dyDescent="0.3">
      <c r="B54" s="801"/>
      <c r="C54" s="766" t="s">
        <v>178</v>
      </c>
      <c r="D54" s="767"/>
      <c r="E54" s="768"/>
      <c r="F54" s="784" t="s">
        <v>193</v>
      </c>
      <c r="G54" s="785"/>
      <c r="H54" s="166"/>
      <c r="I54" s="183">
        <f t="shared" ref="I54:O54" si="450">I41/I39</f>
        <v>49.669319550086634</v>
      </c>
      <c r="J54" s="183">
        <f t="shared" si="450"/>
        <v>46.362004317691174</v>
      </c>
      <c r="K54" s="183">
        <f t="shared" si="450"/>
        <v>50.843663911845731</v>
      </c>
      <c r="L54" s="183">
        <f t="shared" si="450"/>
        <v>66.536128048780498</v>
      </c>
      <c r="M54" s="183">
        <f t="shared" si="450"/>
        <v>72.105546123372946</v>
      </c>
      <c r="N54" s="183" t="e">
        <f t="shared" si="450"/>
        <v>#DIV/0!</v>
      </c>
      <c r="O54" s="184" t="e">
        <f t="shared" si="450"/>
        <v>#DIV/0!</v>
      </c>
      <c r="P54" s="172"/>
      <c r="Q54" s="185">
        <f t="shared" ref="Q54:W54" si="451">Q41/Q39</f>
        <v>42.614559819413095</v>
      </c>
      <c r="R54" s="183">
        <f t="shared" si="451"/>
        <v>44.115645328814303</v>
      </c>
      <c r="S54" s="183">
        <f t="shared" si="451"/>
        <v>57.879909706546272</v>
      </c>
      <c r="T54" s="183">
        <f t="shared" si="451"/>
        <v>67.658047016274864</v>
      </c>
      <c r="U54" s="183" t="e">
        <f t="shared" si="451"/>
        <v>#DIV/0!</v>
      </c>
      <c r="V54" s="183" t="e">
        <f t="shared" si="451"/>
        <v>#DIV/0!</v>
      </c>
      <c r="W54" s="183" t="e">
        <f t="shared" si="451"/>
        <v>#DIV/0!</v>
      </c>
      <c r="X54" s="172"/>
      <c r="Y54" s="183">
        <f t="shared" ref="Y54:AE54" si="452">Y41/Y39</f>
        <v>50.326096033402919</v>
      </c>
      <c r="Z54" s="183">
        <f t="shared" si="452"/>
        <v>60.952664974619289</v>
      </c>
      <c r="AA54" s="183">
        <f t="shared" si="452"/>
        <v>51.80264255910987</v>
      </c>
      <c r="AB54" s="183">
        <f t="shared" si="452"/>
        <v>63.562302692664808</v>
      </c>
      <c r="AC54" s="183">
        <f t="shared" si="452"/>
        <v>41.432038834951463</v>
      </c>
      <c r="AD54" s="183">
        <f t="shared" si="452"/>
        <v>240.68571428571428</v>
      </c>
      <c r="AE54" s="183" t="e">
        <f t="shared" si="452"/>
        <v>#DIV/0!</v>
      </c>
      <c r="AG54" s="183">
        <f t="shared" ref="AG54:AM54" si="453">AG41/AG39</f>
        <v>73.384210526315783</v>
      </c>
      <c r="AH54" s="183">
        <f t="shared" si="453"/>
        <v>40.96416794899978</v>
      </c>
      <c r="AI54" s="183">
        <f t="shared" si="453"/>
        <v>53.753142750721665</v>
      </c>
      <c r="AJ54" s="183">
        <f t="shared" si="453"/>
        <v>50.468738229755175</v>
      </c>
      <c r="AK54" s="183" t="e">
        <f t="shared" si="453"/>
        <v>#DIV/0!</v>
      </c>
      <c r="AL54" s="183" t="e">
        <f t="shared" si="453"/>
        <v>#DIV/0!</v>
      </c>
      <c r="AM54" s="183" t="e">
        <f t="shared" si="453"/>
        <v>#DIV/0!</v>
      </c>
      <c r="AO54" s="183" t="e">
        <f t="shared" ref="AO54:AU54" si="454">AO41/AO39</f>
        <v>#DIV/0!</v>
      </c>
      <c r="AP54" s="183">
        <f t="shared" si="454"/>
        <v>43.793511450381686</v>
      </c>
      <c r="AQ54" s="183">
        <f t="shared" si="454"/>
        <v>47.880459770114946</v>
      </c>
      <c r="AR54" s="183">
        <f t="shared" si="454"/>
        <v>52.527345844504026</v>
      </c>
      <c r="AS54" s="183">
        <f t="shared" si="454"/>
        <v>6.8188405797101455</v>
      </c>
      <c r="AT54" s="183" t="e">
        <f t="shared" si="454"/>
        <v>#DIV/0!</v>
      </c>
      <c r="AU54" s="183" t="e">
        <f t="shared" si="454"/>
        <v>#DIV/0!</v>
      </c>
      <c r="AW54" s="214">
        <f t="shared" ref="AW54:BC54" si="455">AW41/AW39</f>
        <v>0</v>
      </c>
      <c r="AX54" s="183">
        <f t="shared" si="455"/>
        <v>59.358080671358962</v>
      </c>
      <c r="AY54" s="183">
        <f t="shared" si="455"/>
        <v>41.164454545454547</v>
      </c>
      <c r="AZ54" s="183">
        <f t="shared" si="455"/>
        <v>66.318200408997953</v>
      </c>
      <c r="BA54" s="183" t="e">
        <f t="shared" si="455"/>
        <v>#DIV/0!</v>
      </c>
      <c r="BB54" s="183" t="e">
        <f t="shared" si="455"/>
        <v>#DIV/0!</v>
      </c>
      <c r="BC54" s="215" t="e">
        <f t="shared" si="455"/>
        <v>#DIV/0!</v>
      </c>
      <c r="BE54" s="183">
        <f t="shared" ref="BE54:BK54" si="456">BE41/BE39</f>
        <v>47.598325123152705</v>
      </c>
      <c r="BF54" s="183">
        <f t="shared" si="456"/>
        <v>50.917904524322488</v>
      </c>
      <c r="BG54" s="183" t="e">
        <f t="shared" si="456"/>
        <v>#DIV/0!</v>
      </c>
      <c r="BH54" s="183">
        <f t="shared" si="456"/>
        <v>56.763993453355155</v>
      </c>
      <c r="BI54" s="183" t="e">
        <f t="shared" si="456"/>
        <v>#DIV/0!</v>
      </c>
      <c r="BJ54" s="183" t="e">
        <f t="shared" si="456"/>
        <v>#DIV/0!</v>
      </c>
      <c r="BK54" s="183" t="e">
        <f t="shared" si="456"/>
        <v>#DIV/0!</v>
      </c>
      <c r="BM54" s="214">
        <f t="shared" ref="BM54:BS54" si="457">BM41/BM39</f>
        <v>50.493055555555557</v>
      </c>
      <c r="BN54" s="183">
        <f t="shared" si="457"/>
        <v>54.604212454212451</v>
      </c>
      <c r="BO54" s="183">
        <f t="shared" si="457"/>
        <v>57.174415405777161</v>
      </c>
      <c r="BP54" s="183">
        <f t="shared" si="457"/>
        <v>71.640715883668904</v>
      </c>
      <c r="BQ54" s="183" t="e">
        <f t="shared" si="457"/>
        <v>#DIV/0!</v>
      </c>
      <c r="BR54" s="183" t="e">
        <f t="shared" si="457"/>
        <v>#DIV/0!</v>
      </c>
      <c r="BS54" s="215" t="e">
        <f t="shared" si="457"/>
        <v>#DIV/0!</v>
      </c>
      <c r="BV54" s="214">
        <f t="shared" ref="BV54:CB54" si="458">BV41/BV39</f>
        <v>46.939569892473116</v>
      </c>
      <c r="BW54" s="183">
        <f t="shared" si="458"/>
        <v>41.832079207920792</v>
      </c>
      <c r="BX54" s="183">
        <f t="shared" si="458"/>
        <v>74.479301075268808</v>
      </c>
      <c r="BY54" s="183">
        <f t="shared" si="458"/>
        <v>30.753424657534246</v>
      </c>
      <c r="BZ54" s="183">
        <f t="shared" si="458"/>
        <v>206.55692307692306</v>
      </c>
      <c r="CA54" s="183" t="e">
        <f t="shared" si="458"/>
        <v>#DIV/0!</v>
      </c>
      <c r="CB54" s="215" t="e">
        <f t="shared" si="458"/>
        <v>#DIV/0!</v>
      </c>
      <c r="CE54" s="214">
        <f t="shared" ref="CE54:CK54" si="459">CE41/CE39</f>
        <v>45.686904761904756</v>
      </c>
      <c r="CF54" s="183">
        <f t="shared" si="459"/>
        <v>47.55872093023256</v>
      </c>
      <c r="CG54" s="183">
        <f t="shared" si="459"/>
        <v>48.621375464684014</v>
      </c>
      <c r="CH54" s="183">
        <f t="shared" si="459"/>
        <v>53.781211180124224</v>
      </c>
      <c r="CI54" s="183" t="e">
        <f t="shared" si="459"/>
        <v>#DIV/0!</v>
      </c>
      <c r="CJ54" s="183" t="e">
        <f t="shared" si="459"/>
        <v>#DIV/0!</v>
      </c>
      <c r="CK54" s="215" t="e">
        <f t="shared" si="459"/>
        <v>#DIV/0!</v>
      </c>
      <c r="CN54" s="214" t="e">
        <f t="shared" ref="CN54:CT54" si="460">CN41/CN39</f>
        <v>#DIV/0!</v>
      </c>
      <c r="CO54" s="183">
        <f t="shared" si="460"/>
        <v>51.26802439555653</v>
      </c>
      <c r="CP54" s="183">
        <f t="shared" si="460"/>
        <v>59.717964601769914</v>
      </c>
      <c r="CQ54" s="183">
        <f t="shared" si="460"/>
        <v>39.344490644490641</v>
      </c>
      <c r="CR54" s="183">
        <f t="shared" si="460"/>
        <v>94.703137254901961</v>
      </c>
      <c r="CS54" s="183" t="e">
        <f t="shared" si="460"/>
        <v>#DIV/0!</v>
      </c>
      <c r="CT54" s="215" t="e">
        <f t="shared" si="460"/>
        <v>#DIV/0!</v>
      </c>
      <c r="CW54" s="214">
        <f t="shared" ref="CW54:DC54" si="461">CW41/CW39</f>
        <v>40.573391178597248</v>
      </c>
      <c r="CX54" s="183">
        <f t="shared" si="461"/>
        <v>43.89697265625</v>
      </c>
      <c r="CY54" s="183">
        <f t="shared" si="461"/>
        <v>44.358125623130611</v>
      </c>
      <c r="CZ54" s="183" t="e">
        <f t="shared" si="461"/>
        <v>#DIV/0!</v>
      </c>
      <c r="DA54" s="183" t="e">
        <f t="shared" si="461"/>
        <v>#DIV/0!</v>
      </c>
      <c r="DB54" s="183" t="e">
        <f t="shared" si="461"/>
        <v>#DIV/0!</v>
      </c>
      <c r="DC54" s="215" t="e">
        <f t="shared" si="461"/>
        <v>#DIV/0!</v>
      </c>
      <c r="DF54" s="214">
        <f t="shared" ref="DF54:DL54" si="462">DF41/DF39</f>
        <v>44.541674687199226</v>
      </c>
      <c r="DG54" s="183">
        <f t="shared" si="462"/>
        <v>67.99636363636364</v>
      </c>
      <c r="DH54" s="183">
        <f t="shared" si="462"/>
        <v>53.809873060648798</v>
      </c>
      <c r="DI54" s="183" t="e">
        <f t="shared" si="462"/>
        <v>#DIV/0!</v>
      </c>
      <c r="DJ54" s="183" t="e">
        <f t="shared" si="462"/>
        <v>#DIV/0!</v>
      </c>
      <c r="DK54" s="183" t="e">
        <f t="shared" si="462"/>
        <v>#DIV/0!</v>
      </c>
      <c r="DL54" s="215" t="e">
        <f t="shared" si="462"/>
        <v>#DIV/0!</v>
      </c>
      <c r="DO54" s="214" t="e">
        <f t="shared" ref="DO54:DU54" si="463">DO41/DO39</f>
        <v>#DIV/0!</v>
      </c>
      <c r="DP54" s="183" t="e">
        <f t="shared" si="463"/>
        <v>#DIV/0!</v>
      </c>
      <c r="DQ54" s="183" t="e">
        <f t="shared" si="463"/>
        <v>#DIV/0!</v>
      </c>
      <c r="DR54" s="183" t="e">
        <f t="shared" si="463"/>
        <v>#DIV/0!</v>
      </c>
      <c r="DS54" s="183" t="e">
        <f t="shared" si="463"/>
        <v>#DIV/0!</v>
      </c>
      <c r="DT54" s="183" t="e">
        <f t="shared" si="463"/>
        <v>#DIV/0!</v>
      </c>
      <c r="DU54" s="215" t="e">
        <f t="shared" si="463"/>
        <v>#DIV/0!</v>
      </c>
      <c r="DX54" s="214">
        <f>IF(ISNUMBER(DX39),DX41/DX39,)</f>
        <v>0</v>
      </c>
      <c r="DY54" s="214">
        <f t="shared" ref="DY54:ED54" si="464">IF(ISNUMBER(DY39),DY41/DY39,)</f>
        <v>0</v>
      </c>
      <c r="DZ54" s="214">
        <f t="shared" si="464"/>
        <v>60.491366906474809</v>
      </c>
      <c r="EA54" s="214">
        <f t="shared" si="464"/>
        <v>81.223860911270975</v>
      </c>
      <c r="EB54" s="214">
        <f t="shared" si="464"/>
        <v>0</v>
      </c>
      <c r="EC54" s="214">
        <f t="shared" si="464"/>
        <v>0</v>
      </c>
      <c r="ED54" s="214">
        <f t="shared" si="464"/>
        <v>0</v>
      </c>
      <c r="EG54" s="214">
        <f>IF(ISNUMBER(EG39),EG41/EG39,)</f>
        <v>0</v>
      </c>
      <c r="EH54" s="214">
        <f t="shared" ref="EH54:EM54" si="465">IF(ISNUMBER(EH39),EH41/EH39,)</f>
        <v>0</v>
      </c>
      <c r="EI54" s="214">
        <f t="shared" si="465"/>
        <v>0</v>
      </c>
      <c r="EJ54" s="214">
        <f t="shared" si="465"/>
        <v>0</v>
      </c>
      <c r="EK54" s="214">
        <f t="shared" si="465"/>
        <v>0</v>
      </c>
      <c r="EL54" s="214">
        <f t="shared" si="465"/>
        <v>0</v>
      </c>
      <c r="EM54" s="214">
        <f t="shared" si="465"/>
        <v>0</v>
      </c>
      <c r="EN54"/>
      <c r="EP54" s="214">
        <f>IF(ISNUMBER(EP39),EP41/EP39,)</f>
        <v>0</v>
      </c>
      <c r="EQ54" s="214">
        <f t="shared" ref="EQ54:EV54" si="466">IF(ISNUMBER(EQ39),EQ41/EQ39,)</f>
        <v>0</v>
      </c>
      <c r="ER54" s="214">
        <f t="shared" si="466"/>
        <v>0</v>
      </c>
      <c r="ES54" s="214">
        <f t="shared" si="466"/>
        <v>0</v>
      </c>
      <c r="ET54" s="214">
        <f t="shared" si="466"/>
        <v>0</v>
      </c>
      <c r="EU54" s="214">
        <f t="shared" si="466"/>
        <v>0</v>
      </c>
      <c r="EV54" s="214">
        <f t="shared" si="466"/>
        <v>0</v>
      </c>
      <c r="EW54"/>
    </row>
    <row r="55" spans="2:153" ht="15.6" x14ac:dyDescent="0.3">
      <c r="B55" s="801"/>
      <c r="C55" s="193" t="s">
        <v>179</v>
      </c>
      <c r="D55" s="194"/>
      <c r="E55" s="195"/>
      <c r="F55" s="196" t="s">
        <v>149</v>
      </c>
      <c r="G55" s="197"/>
      <c r="H55" s="166"/>
      <c r="I55" s="183">
        <f t="shared" ref="I55:O55" si="467">I41*0.0036</f>
        <v>18.265931999999999</v>
      </c>
      <c r="J55" s="183">
        <f t="shared" si="467"/>
        <v>14.689152</v>
      </c>
      <c r="K55" s="183">
        <f t="shared" si="467"/>
        <v>13.288499999999999</v>
      </c>
      <c r="L55" s="183">
        <f t="shared" si="467"/>
        <v>15.713172000000002</v>
      </c>
      <c r="M55" s="183">
        <f t="shared" si="467"/>
        <v>9.1735559999999996</v>
      </c>
      <c r="N55" s="183">
        <f t="shared" si="467"/>
        <v>1.5078239999999998</v>
      </c>
      <c r="O55" s="184">
        <f t="shared" si="467"/>
        <v>1.5063839999999999</v>
      </c>
      <c r="P55" s="172"/>
      <c r="Q55" s="185">
        <f t="shared" ref="Q55:W55" si="468">Q41*0.0036</f>
        <v>13.59234</v>
      </c>
      <c r="R55" s="183">
        <f t="shared" si="468"/>
        <v>11.620908</v>
      </c>
      <c r="S55" s="183">
        <f t="shared" si="468"/>
        <v>13.846031999999999</v>
      </c>
      <c r="T55" s="183">
        <f t="shared" si="468"/>
        <v>13.469363999999999</v>
      </c>
      <c r="U55" s="183">
        <f t="shared" si="468"/>
        <v>8.9463600000000003</v>
      </c>
      <c r="V55" s="183">
        <f t="shared" si="468"/>
        <v>2.6459280000000001</v>
      </c>
      <c r="W55" s="183">
        <f t="shared" si="468"/>
        <v>1.3315679999999999</v>
      </c>
      <c r="X55" s="172"/>
      <c r="Y55" s="183">
        <f t="shared" ref="Y55:AE55" si="469">Y41*0.0036</f>
        <v>8.6782319999999995</v>
      </c>
      <c r="Z55" s="183">
        <f t="shared" si="469"/>
        <v>17.291051999999997</v>
      </c>
      <c r="AA55" s="183">
        <f t="shared" si="469"/>
        <v>13.408595999999999</v>
      </c>
      <c r="AB55" s="183">
        <f t="shared" si="469"/>
        <v>12.322187999999999</v>
      </c>
      <c r="AC55" s="183">
        <f t="shared" si="469"/>
        <v>13.888152</v>
      </c>
      <c r="AD55" s="183">
        <f t="shared" si="469"/>
        <v>1.8195839999999999</v>
      </c>
      <c r="AE55" s="183">
        <f t="shared" si="469"/>
        <v>1.6128</v>
      </c>
      <c r="AG55" s="183">
        <f t="shared" ref="AG55:AM55" si="470">AG41*0.0036</f>
        <v>16.564283999999997</v>
      </c>
      <c r="AH55" s="183">
        <f t="shared" si="470"/>
        <v>13.416912</v>
      </c>
      <c r="AI55" s="183">
        <f t="shared" si="470"/>
        <v>16.624943999999999</v>
      </c>
      <c r="AJ55" s="183">
        <f t="shared" si="470"/>
        <v>9.6476039999999994</v>
      </c>
      <c r="AK55" s="183">
        <f t="shared" si="470"/>
        <v>1.6166879999999999</v>
      </c>
      <c r="AL55" s="183">
        <f t="shared" si="470"/>
        <v>1.20906</v>
      </c>
      <c r="AM55" s="183">
        <f t="shared" si="470"/>
        <v>0.92231999999999992</v>
      </c>
      <c r="AO55" s="183">
        <f t="shared" ref="AO55:AU55" si="471">AO41*0.0036</f>
        <v>0.96285599999999993</v>
      </c>
      <c r="AP55" s="183">
        <f t="shared" si="471"/>
        <v>16.522416</v>
      </c>
      <c r="AQ55" s="183">
        <f t="shared" si="471"/>
        <v>13.496544</v>
      </c>
      <c r="AR55" s="183">
        <f t="shared" si="471"/>
        <v>14.106743999999999</v>
      </c>
      <c r="AS55" s="183">
        <f t="shared" si="471"/>
        <v>2.7439559999999998</v>
      </c>
      <c r="AT55" s="183">
        <f t="shared" si="471"/>
        <v>1.4804280000000001</v>
      </c>
      <c r="AU55" s="183">
        <f t="shared" si="471"/>
        <v>1.3940999999999999</v>
      </c>
      <c r="AW55" s="214">
        <f t="shared" ref="AW55:BC55" si="472">AW41*0.0036</f>
        <v>0</v>
      </c>
      <c r="AX55" s="183">
        <f t="shared" si="472"/>
        <v>12.62988</v>
      </c>
      <c r="AY55" s="183">
        <f t="shared" si="472"/>
        <v>16.301124000000002</v>
      </c>
      <c r="AZ55" s="183">
        <f t="shared" si="472"/>
        <v>11.674656000000001</v>
      </c>
      <c r="BA55" s="183">
        <f t="shared" si="472"/>
        <v>1.7234639999999999</v>
      </c>
      <c r="BB55" s="183">
        <f t="shared" si="472"/>
        <v>1.1804760000000001</v>
      </c>
      <c r="BC55" s="215">
        <f t="shared" si="472"/>
        <v>1.194984</v>
      </c>
      <c r="BE55" s="183">
        <f t="shared" ref="BE55:BK55" si="473">BE41*0.0036</f>
        <v>17.392427999999999</v>
      </c>
      <c r="BF55" s="183">
        <f t="shared" si="473"/>
        <v>16.165620000000001</v>
      </c>
      <c r="BG55" s="183">
        <f t="shared" si="473"/>
        <v>13.340916</v>
      </c>
      <c r="BH55" s="183">
        <f t="shared" si="473"/>
        <v>12.485808</v>
      </c>
      <c r="BI55" s="183">
        <f t="shared" si="473"/>
        <v>3.8174400000000004</v>
      </c>
      <c r="BJ55" s="183">
        <f t="shared" si="473"/>
        <v>1.0726199999999999</v>
      </c>
      <c r="BK55" s="183">
        <f t="shared" si="473"/>
        <v>1.1748959999999999</v>
      </c>
      <c r="BM55" s="214">
        <f t="shared" ref="BM55:BS55" si="474">BM41*0.0036</f>
        <v>17.014139999999998</v>
      </c>
      <c r="BN55" s="183">
        <f t="shared" si="474"/>
        <v>10.733003999999999</v>
      </c>
      <c r="BO55" s="183">
        <f t="shared" si="474"/>
        <v>14.963687999999999</v>
      </c>
      <c r="BP55" s="183">
        <f t="shared" si="474"/>
        <v>11.528423999999999</v>
      </c>
      <c r="BQ55" s="183">
        <f t="shared" si="474"/>
        <v>2.6589239999999998</v>
      </c>
      <c r="BR55" s="183">
        <f t="shared" si="474"/>
        <v>1.1521440000000001</v>
      </c>
      <c r="BS55" s="215">
        <f t="shared" si="474"/>
        <v>1.2843</v>
      </c>
      <c r="BV55" s="214">
        <f t="shared" ref="BV55:CB55" si="475">BV41*0.0036</f>
        <v>15.715368</v>
      </c>
      <c r="BW55" s="183">
        <f t="shared" si="475"/>
        <v>15.210144</v>
      </c>
      <c r="BX55" s="183">
        <f t="shared" si="475"/>
        <v>9.9742680000000004</v>
      </c>
      <c r="BY55" s="183">
        <f t="shared" si="475"/>
        <v>11.3148</v>
      </c>
      <c r="BZ55" s="183">
        <f t="shared" si="475"/>
        <v>4.8334319999999993</v>
      </c>
      <c r="CA55" s="183">
        <f t="shared" si="475"/>
        <v>1.0116000000000001</v>
      </c>
      <c r="CB55" s="215">
        <f t="shared" si="475"/>
        <v>1.025136</v>
      </c>
      <c r="CE55" s="214">
        <f t="shared" ref="CE55:CK55" si="476">CE41*0.0036</f>
        <v>13.815719999999999</v>
      </c>
      <c r="CF55" s="183">
        <f t="shared" si="476"/>
        <v>11.779344</v>
      </c>
      <c r="CG55" s="183">
        <f t="shared" si="476"/>
        <v>18.833976</v>
      </c>
      <c r="CH55" s="183">
        <f t="shared" si="476"/>
        <v>12.468636</v>
      </c>
      <c r="CI55" s="183">
        <f t="shared" si="476"/>
        <v>1.8324</v>
      </c>
      <c r="CJ55" s="183">
        <f t="shared" si="476"/>
        <v>1.4076</v>
      </c>
      <c r="CK55" s="215">
        <f t="shared" si="476"/>
        <v>1.1663999999999999</v>
      </c>
      <c r="CN55" s="214">
        <f t="shared" ref="CN55:CT55" si="477">CN41*0.0036</f>
        <v>1.2924</v>
      </c>
      <c r="CO55" s="183">
        <f t="shared" si="477"/>
        <v>16.946747999999999</v>
      </c>
      <c r="CP55" s="183">
        <f t="shared" si="477"/>
        <v>24.293268000000001</v>
      </c>
      <c r="CQ55" s="183">
        <f t="shared" si="477"/>
        <v>13.625783999999999</v>
      </c>
      <c r="CR55" s="183">
        <f t="shared" si="477"/>
        <v>8.6937479999999994</v>
      </c>
      <c r="CS55" s="183">
        <f t="shared" si="477"/>
        <v>1.6504559999999999</v>
      </c>
      <c r="CT55" s="215">
        <f t="shared" si="477"/>
        <v>1.5366600000000001</v>
      </c>
      <c r="CW55" s="214">
        <f t="shared" ref="CW55:DC55" si="478">CW41*0.0036</f>
        <v>20.200679999999998</v>
      </c>
      <c r="CX55" s="183">
        <f t="shared" si="478"/>
        <v>16.182179999999999</v>
      </c>
      <c r="CY55" s="183">
        <f t="shared" si="478"/>
        <v>16.016832000000001</v>
      </c>
      <c r="CZ55" s="183">
        <f t="shared" si="478"/>
        <v>17.573939999999997</v>
      </c>
      <c r="DA55" s="183">
        <f t="shared" si="478"/>
        <v>8.7192720000000001</v>
      </c>
      <c r="DB55" s="183">
        <f t="shared" si="478"/>
        <v>1.845828</v>
      </c>
      <c r="DC55" s="215">
        <f t="shared" si="478"/>
        <v>1.5875999999999999</v>
      </c>
      <c r="DF55" s="214">
        <f t="shared" ref="DF55:DL55" si="479">DF41*0.0036</f>
        <v>16.660367999999998</v>
      </c>
      <c r="DG55" s="183">
        <f t="shared" si="479"/>
        <v>8.0779680000000003</v>
      </c>
      <c r="DH55" s="183">
        <f t="shared" si="479"/>
        <v>13.734432</v>
      </c>
      <c r="DI55" s="183">
        <f t="shared" si="479"/>
        <v>8.229887999999999</v>
      </c>
      <c r="DJ55" s="183">
        <f t="shared" si="479"/>
        <v>0</v>
      </c>
      <c r="DK55" s="183">
        <f t="shared" si="479"/>
        <v>0</v>
      </c>
      <c r="DL55" s="215">
        <f t="shared" si="479"/>
        <v>0</v>
      </c>
      <c r="DO55" s="214">
        <f t="shared" ref="DO55:DU55" si="480">DO41*0.0036</f>
        <v>0</v>
      </c>
      <c r="DP55" s="183">
        <f t="shared" si="480"/>
        <v>0</v>
      </c>
      <c r="DQ55" s="183">
        <f t="shared" si="480"/>
        <v>0</v>
      </c>
      <c r="DR55" s="183">
        <f t="shared" si="480"/>
        <v>0</v>
      </c>
      <c r="DS55" s="183">
        <f t="shared" si="480"/>
        <v>0</v>
      </c>
      <c r="DT55" s="183">
        <f t="shared" si="480"/>
        <v>0.20192400000000002</v>
      </c>
      <c r="DU55" s="215">
        <f t="shared" si="480"/>
        <v>7.7147999999999994E-2</v>
      </c>
      <c r="DX55" s="214">
        <f t="shared" ref="DX55:ED55" si="481">DX41*0.0036</f>
        <v>0.322272</v>
      </c>
      <c r="DY55" s="183">
        <f t="shared" si="481"/>
        <v>0.60155999999999998</v>
      </c>
      <c r="DZ55" s="183">
        <f t="shared" si="481"/>
        <v>18.161928</v>
      </c>
      <c r="EA55" s="183">
        <f t="shared" si="481"/>
        <v>24.386651999999998</v>
      </c>
      <c r="EB55" s="183">
        <f t="shared" si="481"/>
        <v>0</v>
      </c>
      <c r="EC55" s="183">
        <f t="shared" si="481"/>
        <v>0</v>
      </c>
      <c r="ED55" s="215">
        <f t="shared" si="481"/>
        <v>0</v>
      </c>
      <c r="EG55" s="214">
        <f t="shared" ref="EG55:EM55" si="482">EG41*0.0036</f>
        <v>0</v>
      </c>
      <c r="EH55" s="183">
        <f t="shared" si="482"/>
        <v>0</v>
      </c>
      <c r="EI55" s="183">
        <f t="shared" si="482"/>
        <v>0</v>
      </c>
      <c r="EJ55" s="183">
        <f t="shared" si="482"/>
        <v>0</v>
      </c>
      <c r="EK55" s="183">
        <f t="shared" si="482"/>
        <v>0</v>
      </c>
      <c r="EL55" s="183">
        <f t="shared" si="482"/>
        <v>0</v>
      </c>
      <c r="EM55" s="215">
        <f t="shared" si="482"/>
        <v>0</v>
      </c>
      <c r="EN55"/>
      <c r="EP55" s="214">
        <f t="shared" ref="EP55:EV55" si="483">EP41*0.0036</f>
        <v>0</v>
      </c>
      <c r="EQ55" s="183">
        <f t="shared" si="483"/>
        <v>0</v>
      </c>
      <c r="ER55" s="183">
        <f t="shared" si="483"/>
        <v>0</v>
      </c>
      <c r="ES55" s="183">
        <f t="shared" si="483"/>
        <v>0</v>
      </c>
      <c r="ET55" s="183">
        <f t="shared" si="483"/>
        <v>0</v>
      </c>
      <c r="EU55" s="183">
        <f t="shared" si="483"/>
        <v>0</v>
      </c>
      <c r="EV55" s="215">
        <f t="shared" si="483"/>
        <v>0</v>
      </c>
      <c r="EW55"/>
    </row>
    <row r="56" spans="2:153" ht="16.2" thickBot="1" x14ac:dyDescent="0.35">
      <c r="B56" s="801"/>
      <c r="C56" s="809" t="s">
        <v>180</v>
      </c>
      <c r="D56" s="810"/>
      <c r="E56" s="790"/>
      <c r="F56" s="782" t="s">
        <v>151</v>
      </c>
      <c r="G56" s="783"/>
      <c r="H56" s="192"/>
      <c r="I56" s="206">
        <f t="shared" ref="I56:O56" si="484">I55/I39</f>
        <v>0.17880955038031188</v>
      </c>
      <c r="J56" s="206">
        <f t="shared" si="484"/>
        <v>0.1669032155436882</v>
      </c>
      <c r="K56" s="206">
        <f t="shared" si="484"/>
        <v>0.18303719008264463</v>
      </c>
      <c r="L56" s="206">
        <f t="shared" si="484"/>
        <v>0.2395300609756098</v>
      </c>
      <c r="M56" s="206">
        <f t="shared" si="484"/>
        <v>0.25957996604414257</v>
      </c>
      <c r="N56" s="206" t="e">
        <f t="shared" si="484"/>
        <v>#DIV/0!</v>
      </c>
      <c r="O56" s="222" t="e">
        <f t="shared" si="484"/>
        <v>#DIV/0!</v>
      </c>
      <c r="P56" s="172"/>
      <c r="Q56" s="223">
        <f t="shared" ref="Q56:W56" si="485">Q55/Q39</f>
        <v>0.15341241534988714</v>
      </c>
      <c r="R56" s="206">
        <f t="shared" si="485"/>
        <v>0.15881632318373148</v>
      </c>
      <c r="S56" s="206">
        <f t="shared" si="485"/>
        <v>0.20836767494356656</v>
      </c>
      <c r="T56" s="206">
        <f t="shared" si="485"/>
        <v>0.24356896925858951</v>
      </c>
      <c r="U56" s="206" t="e">
        <f t="shared" si="485"/>
        <v>#DIV/0!</v>
      </c>
      <c r="V56" s="206" t="e">
        <f t="shared" si="485"/>
        <v>#DIV/0!</v>
      </c>
      <c r="W56" s="206" t="e">
        <f t="shared" si="485"/>
        <v>#DIV/0!</v>
      </c>
      <c r="X56" s="172"/>
      <c r="Y56" s="206">
        <f t="shared" ref="Y56:AE56" si="486">Y55/Y39</f>
        <v>0.18117394572025053</v>
      </c>
      <c r="Z56" s="206">
        <f t="shared" si="486"/>
        <v>0.2194295939086294</v>
      </c>
      <c r="AA56" s="206">
        <f t="shared" si="486"/>
        <v>0.18648951321279553</v>
      </c>
      <c r="AB56" s="206">
        <f t="shared" si="486"/>
        <v>0.22882428969359328</v>
      </c>
      <c r="AC56" s="206">
        <f t="shared" si="486"/>
        <v>0.14915533980582524</v>
      </c>
      <c r="AD56" s="206">
        <f t="shared" si="486"/>
        <v>0.86646857142857137</v>
      </c>
      <c r="AE56" s="206" t="e">
        <f t="shared" si="486"/>
        <v>#DIV/0!</v>
      </c>
      <c r="AG56" s="206">
        <f t="shared" ref="AG56:AM56" si="487">AG55/AG39</f>
        <v>0.26418315789473679</v>
      </c>
      <c r="AH56" s="206">
        <f t="shared" si="487"/>
        <v>0.1474710046163992</v>
      </c>
      <c r="AI56" s="206">
        <f t="shared" si="487"/>
        <v>0.19351131390259799</v>
      </c>
      <c r="AJ56" s="206">
        <f t="shared" si="487"/>
        <v>0.18168745762711863</v>
      </c>
      <c r="AK56" s="206" t="e">
        <f t="shared" si="487"/>
        <v>#DIV/0!</v>
      </c>
      <c r="AL56" s="206" t="e">
        <f t="shared" si="487"/>
        <v>#DIV/0!</v>
      </c>
      <c r="AM56" s="206" t="e">
        <f t="shared" si="487"/>
        <v>#DIV/0!</v>
      </c>
      <c r="AO56" s="206" t="e">
        <f t="shared" ref="AO56:AU56" si="488">AO55/AO39</f>
        <v>#DIV/0!</v>
      </c>
      <c r="AP56" s="206">
        <f t="shared" si="488"/>
        <v>0.15765664122137404</v>
      </c>
      <c r="AQ56" s="206">
        <f t="shared" si="488"/>
        <v>0.17236965517241379</v>
      </c>
      <c r="AR56" s="206">
        <f t="shared" si="488"/>
        <v>0.18909844504021447</v>
      </c>
      <c r="AS56" s="206">
        <f t="shared" si="488"/>
        <v>2.454782608695652E-2</v>
      </c>
      <c r="AT56" s="206" t="e">
        <f t="shared" si="488"/>
        <v>#DIV/0!</v>
      </c>
      <c r="AU56" s="206" t="e">
        <f t="shared" si="488"/>
        <v>#DIV/0!</v>
      </c>
      <c r="AW56" s="216">
        <f t="shared" ref="AW56:BC56" si="489">AW55/AW39</f>
        <v>0</v>
      </c>
      <c r="AX56" s="217">
        <f t="shared" si="489"/>
        <v>0.21368909041689227</v>
      </c>
      <c r="AY56" s="217">
        <f t="shared" si="489"/>
        <v>0.14819203636363637</v>
      </c>
      <c r="AZ56" s="217">
        <f t="shared" si="489"/>
        <v>0.23874552147239267</v>
      </c>
      <c r="BA56" s="217" t="e">
        <f t="shared" si="489"/>
        <v>#DIV/0!</v>
      </c>
      <c r="BB56" s="217" t="e">
        <f t="shared" si="489"/>
        <v>#DIV/0!</v>
      </c>
      <c r="BC56" s="218" t="e">
        <f t="shared" si="489"/>
        <v>#DIV/0!</v>
      </c>
      <c r="BE56" s="206">
        <f t="shared" ref="BE56:BK56" si="490">BE55/BE39</f>
        <v>0.17135397044334974</v>
      </c>
      <c r="BF56" s="206">
        <f t="shared" si="490"/>
        <v>0.18330445628756095</v>
      </c>
      <c r="BG56" s="206" t="e">
        <f t="shared" si="490"/>
        <v>#DIV/0!</v>
      </c>
      <c r="BH56" s="206">
        <f t="shared" si="490"/>
        <v>0.20435037643207857</v>
      </c>
      <c r="BI56" s="206" t="e">
        <f t="shared" si="490"/>
        <v>#DIV/0!</v>
      </c>
      <c r="BJ56" s="206" t="e">
        <f t="shared" si="490"/>
        <v>#DIV/0!</v>
      </c>
      <c r="BK56" s="206" t="e">
        <f t="shared" si="490"/>
        <v>#DIV/0!</v>
      </c>
      <c r="BM56" s="216">
        <f t="shared" ref="BM56:BS56" si="491">BM55/BM39</f>
        <v>0.18177499999999999</v>
      </c>
      <c r="BN56" s="217">
        <f t="shared" si="491"/>
        <v>0.19657516483516482</v>
      </c>
      <c r="BO56" s="217">
        <f t="shared" si="491"/>
        <v>0.20582789546079777</v>
      </c>
      <c r="BP56" s="217">
        <f t="shared" si="491"/>
        <v>0.25790657718120802</v>
      </c>
      <c r="BQ56" s="217" t="e">
        <f t="shared" si="491"/>
        <v>#DIV/0!</v>
      </c>
      <c r="BR56" s="217" t="e">
        <f t="shared" si="491"/>
        <v>#DIV/0!</v>
      </c>
      <c r="BS56" s="218" t="e">
        <f t="shared" si="491"/>
        <v>#DIV/0!</v>
      </c>
      <c r="BV56" s="216">
        <f t="shared" ref="BV56:CB56" si="492">BV55/BV39</f>
        <v>0.16898245161290323</v>
      </c>
      <c r="BW56" s="217">
        <f t="shared" si="492"/>
        <v>0.15059548514851484</v>
      </c>
      <c r="BX56" s="217">
        <f t="shared" si="492"/>
        <v>0.26812548387096774</v>
      </c>
      <c r="BY56" s="217">
        <f t="shared" si="492"/>
        <v>0.11071232876712328</v>
      </c>
      <c r="BZ56" s="217">
        <f t="shared" si="492"/>
        <v>0.74360492307692294</v>
      </c>
      <c r="CA56" s="217" t="e">
        <f t="shared" si="492"/>
        <v>#DIV/0!</v>
      </c>
      <c r="CB56" s="218" t="e">
        <f t="shared" si="492"/>
        <v>#DIV/0!</v>
      </c>
      <c r="CE56" s="216">
        <f t="shared" ref="CE56:CK56" si="493">CE55/CE39</f>
        <v>0.16447285714285714</v>
      </c>
      <c r="CF56" s="217">
        <f t="shared" si="493"/>
        <v>0.17121139534883723</v>
      </c>
      <c r="CG56" s="217">
        <f t="shared" si="493"/>
        <v>0.17503695167286246</v>
      </c>
      <c r="CH56" s="217">
        <f t="shared" si="493"/>
        <v>0.19361236024844719</v>
      </c>
      <c r="CI56" s="217" t="e">
        <f t="shared" si="493"/>
        <v>#DIV/0!</v>
      </c>
      <c r="CJ56" s="217" t="e">
        <f t="shared" si="493"/>
        <v>#DIV/0!</v>
      </c>
      <c r="CK56" s="218" t="e">
        <f t="shared" si="493"/>
        <v>#DIV/0!</v>
      </c>
      <c r="CN56" s="216" t="e">
        <f t="shared" ref="CN56:CT56" si="494">CN55/CN39</f>
        <v>#DIV/0!</v>
      </c>
      <c r="CO56" s="217">
        <f t="shared" si="494"/>
        <v>0.18456488782400349</v>
      </c>
      <c r="CP56" s="217">
        <f t="shared" si="494"/>
        <v>0.21498467256637169</v>
      </c>
      <c r="CQ56" s="217">
        <f t="shared" si="494"/>
        <v>0.14164016632016632</v>
      </c>
      <c r="CR56" s="217">
        <f t="shared" si="494"/>
        <v>0.34093129411764705</v>
      </c>
      <c r="CS56" s="217" t="e">
        <f t="shared" si="494"/>
        <v>#DIV/0!</v>
      </c>
      <c r="CT56" s="218" t="e">
        <f t="shared" si="494"/>
        <v>#DIV/0!</v>
      </c>
      <c r="CW56" s="216">
        <f t="shared" ref="CW56:DC56" si="495">CW55/CW39</f>
        <v>0.14606420824295008</v>
      </c>
      <c r="CX56" s="217">
        <f t="shared" si="495"/>
        <v>0.15802910156249997</v>
      </c>
      <c r="CY56" s="217">
        <f t="shared" si="495"/>
        <v>0.15968925224327021</v>
      </c>
      <c r="CZ56" s="217" t="e">
        <f t="shared" si="495"/>
        <v>#DIV/0!</v>
      </c>
      <c r="DA56" s="217" t="e">
        <f t="shared" si="495"/>
        <v>#DIV/0!</v>
      </c>
      <c r="DB56" s="217" t="e">
        <f t="shared" si="495"/>
        <v>#DIV/0!</v>
      </c>
      <c r="DC56" s="218" t="e">
        <f t="shared" si="495"/>
        <v>#DIV/0!</v>
      </c>
      <c r="DF56" s="216">
        <f t="shared" ref="DF56:DL56" si="496">DF55/DF39</f>
        <v>0.16035002887391719</v>
      </c>
      <c r="DG56" s="217">
        <f t="shared" si="496"/>
        <v>0.24478690909090911</v>
      </c>
      <c r="DH56" s="217">
        <f t="shared" si="496"/>
        <v>0.19371554301833566</v>
      </c>
      <c r="DI56" s="217" t="e">
        <f t="shared" si="496"/>
        <v>#DIV/0!</v>
      </c>
      <c r="DJ56" s="217" t="e">
        <f t="shared" si="496"/>
        <v>#DIV/0!</v>
      </c>
      <c r="DK56" s="217" t="e">
        <f t="shared" si="496"/>
        <v>#DIV/0!</v>
      </c>
      <c r="DL56" s="218" t="e">
        <f t="shared" si="496"/>
        <v>#DIV/0!</v>
      </c>
      <c r="DO56" s="216" t="e">
        <f t="shared" ref="DO56:DU56" si="497">DO55/DO39</f>
        <v>#DIV/0!</v>
      </c>
      <c r="DP56" s="217" t="e">
        <f t="shared" si="497"/>
        <v>#DIV/0!</v>
      </c>
      <c r="DQ56" s="217" t="e">
        <f t="shared" si="497"/>
        <v>#DIV/0!</v>
      </c>
      <c r="DR56" s="217" t="e">
        <f t="shared" si="497"/>
        <v>#DIV/0!</v>
      </c>
      <c r="DS56" s="217" t="e">
        <f t="shared" si="497"/>
        <v>#DIV/0!</v>
      </c>
      <c r="DT56" s="217" t="e">
        <f t="shared" si="497"/>
        <v>#DIV/0!</v>
      </c>
      <c r="DU56" s="218" t="e">
        <f t="shared" si="497"/>
        <v>#DIV/0!</v>
      </c>
      <c r="DX56" s="216">
        <f>IF(ISNUMBER(DX39),DX55/DX39,)</f>
        <v>0</v>
      </c>
      <c r="DY56" s="216">
        <f t="shared" ref="DY56:ED56" si="498">IF(ISNUMBER(DY39),DY55/DY39,)</f>
        <v>0</v>
      </c>
      <c r="DZ56" s="216">
        <f t="shared" si="498"/>
        <v>0.21776892086330935</v>
      </c>
      <c r="EA56" s="216">
        <f t="shared" si="498"/>
        <v>0.29240589928057548</v>
      </c>
      <c r="EB56" s="216">
        <f t="shared" si="498"/>
        <v>0</v>
      </c>
      <c r="EC56" s="216">
        <f t="shared" si="498"/>
        <v>0</v>
      </c>
      <c r="ED56" s="216">
        <f t="shared" si="498"/>
        <v>0</v>
      </c>
      <c r="EG56" s="216">
        <f>IF(ISNUMBER(EG39),EG55/EG39,)</f>
        <v>0</v>
      </c>
      <c r="EH56" s="216">
        <f t="shared" ref="EH56:EM56" si="499">IF(ISNUMBER(EH39),EH55/EH39,)</f>
        <v>0</v>
      </c>
      <c r="EI56" s="216">
        <f t="shared" si="499"/>
        <v>0</v>
      </c>
      <c r="EJ56" s="216">
        <f t="shared" si="499"/>
        <v>0</v>
      </c>
      <c r="EK56" s="216">
        <f t="shared" si="499"/>
        <v>0</v>
      </c>
      <c r="EL56" s="216">
        <f t="shared" si="499"/>
        <v>0</v>
      </c>
      <c r="EM56" s="216">
        <f t="shared" si="499"/>
        <v>0</v>
      </c>
      <c r="EN56"/>
      <c r="EP56" s="216">
        <f>IF(ISNUMBER(EP39),EP55/EP39,)</f>
        <v>0</v>
      </c>
      <c r="EQ56" s="216">
        <f t="shared" ref="EQ56:EV56" si="500">IF(ISNUMBER(EQ39),EQ55/EQ39,)</f>
        <v>0</v>
      </c>
      <c r="ER56" s="216">
        <f t="shared" si="500"/>
        <v>0</v>
      </c>
      <c r="ES56" s="216">
        <f t="shared" si="500"/>
        <v>0</v>
      </c>
      <c r="ET56" s="216">
        <f t="shared" si="500"/>
        <v>0</v>
      </c>
      <c r="EU56" s="216">
        <f t="shared" si="500"/>
        <v>0</v>
      </c>
      <c r="EV56" s="216">
        <f t="shared" si="500"/>
        <v>0</v>
      </c>
      <c r="EW56"/>
    </row>
    <row r="57" spans="2:153" s="655" customFormat="1" ht="16.2" thickBot="1" x14ac:dyDescent="0.35">
      <c r="B57" s="229"/>
      <c r="C57" s="204"/>
      <c r="D57" s="204"/>
      <c r="E57" s="519"/>
      <c r="F57" s="204"/>
      <c r="G57" s="204"/>
      <c r="H57" s="227"/>
      <c r="I57" s="208"/>
      <c r="J57" s="208"/>
      <c r="K57" s="208"/>
      <c r="L57" s="208"/>
      <c r="M57" s="208"/>
      <c r="N57" s="208"/>
      <c r="O57" s="208"/>
      <c r="P57" s="228"/>
      <c r="Q57" s="208"/>
      <c r="R57" s="208"/>
      <c r="S57" s="208"/>
      <c r="T57" s="208"/>
      <c r="U57" s="208"/>
      <c r="V57" s="208"/>
      <c r="W57" s="208"/>
      <c r="X57" s="228"/>
      <c r="Y57" s="208"/>
      <c r="Z57" s="208"/>
      <c r="AA57" s="208"/>
      <c r="AB57" s="208"/>
      <c r="AC57" s="208"/>
      <c r="AD57" s="208"/>
      <c r="AE57" s="208"/>
      <c r="AF57" s="229"/>
      <c r="AG57" s="208"/>
      <c r="AH57" s="208"/>
      <c r="AI57" s="208"/>
      <c r="AJ57" s="208"/>
      <c r="AK57" s="208"/>
      <c r="AL57" s="208"/>
      <c r="AM57" s="208"/>
      <c r="AN57" s="229"/>
      <c r="AO57" s="208"/>
      <c r="AP57" s="208"/>
      <c r="AQ57" s="208"/>
      <c r="AR57" s="208"/>
      <c r="AS57" s="208"/>
      <c r="AT57" s="208"/>
      <c r="AU57" s="208"/>
      <c r="AV57" s="229"/>
      <c r="AW57" s="208"/>
      <c r="AX57" s="208"/>
      <c r="AY57" s="208"/>
      <c r="AZ57" s="208"/>
      <c r="BA57" s="208"/>
      <c r="BB57" s="208"/>
      <c r="BC57" s="208"/>
      <c r="BD57" s="229"/>
      <c r="BE57" s="208"/>
      <c r="BF57" s="208"/>
      <c r="BG57" s="208"/>
      <c r="BH57" s="208"/>
      <c r="BI57" s="208"/>
      <c r="BJ57" s="208"/>
      <c r="BK57" s="208"/>
      <c r="BL57" s="229"/>
      <c r="BM57" s="208"/>
      <c r="BN57" s="208"/>
      <c r="BO57" s="208"/>
      <c r="BP57" s="208"/>
      <c r="BQ57" s="208"/>
      <c r="BR57" s="208"/>
      <c r="BS57" s="208"/>
      <c r="BT57"/>
      <c r="BU57" s="229"/>
      <c r="BV57" s="208"/>
      <c r="BW57" s="208"/>
      <c r="BX57" s="208"/>
      <c r="BY57" s="208"/>
      <c r="BZ57" s="208"/>
      <c r="CA57" s="208"/>
      <c r="CB57" s="208"/>
      <c r="CC57"/>
      <c r="CD57" s="229"/>
      <c r="CE57" s="208"/>
      <c r="CF57" s="208"/>
      <c r="CG57" s="208"/>
      <c r="CH57" s="208"/>
      <c r="CI57" s="208"/>
      <c r="CJ57" s="208"/>
      <c r="CK57" s="208"/>
      <c r="CL57"/>
      <c r="CM57" s="229"/>
      <c r="CN57" s="208"/>
      <c r="CO57" s="208"/>
      <c r="CP57" s="208"/>
      <c r="CQ57" s="208"/>
      <c r="CR57" s="208"/>
      <c r="CS57" s="208"/>
      <c r="CT57" s="208"/>
      <c r="CU57"/>
      <c r="CV57" s="229"/>
      <c r="CW57" s="208"/>
      <c r="CX57" s="208"/>
      <c r="CY57" s="208"/>
      <c r="CZ57" s="208"/>
      <c r="DA57" s="208"/>
      <c r="DB57" s="208"/>
      <c r="DC57" s="208"/>
      <c r="DD57"/>
      <c r="DE57" s="229"/>
      <c r="DF57" s="208"/>
      <c r="DG57" s="208"/>
      <c r="DH57" s="208"/>
      <c r="DI57" s="208"/>
      <c r="DJ57" s="208"/>
      <c r="DK57" s="208"/>
      <c r="DL57" s="208"/>
      <c r="DM57"/>
      <c r="DN57" s="229"/>
      <c r="DO57" s="208"/>
      <c r="DP57" s="208"/>
      <c r="DQ57" s="208"/>
      <c r="DR57" s="208"/>
      <c r="DS57" s="208"/>
      <c r="DT57" s="208"/>
      <c r="DU57" s="208"/>
      <c r="DV57"/>
      <c r="DW57" s="229"/>
      <c r="DX57" s="208"/>
      <c r="DY57" s="208"/>
      <c r="DZ57" s="208"/>
      <c r="EA57" s="208"/>
      <c r="EB57" s="208"/>
      <c r="EC57" s="208"/>
      <c r="ED57" s="208"/>
      <c r="EE57"/>
      <c r="EF57" s="229"/>
      <c r="EG57" s="208"/>
      <c r="EH57" s="208"/>
      <c r="EI57" s="208"/>
      <c r="EJ57" s="208"/>
      <c r="EK57" s="208"/>
      <c r="EL57" s="208"/>
      <c r="EM57" s="208"/>
      <c r="EN57"/>
      <c r="EP57" s="208"/>
      <c r="EQ57" s="208"/>
      <c r="ER57" s="208"/>
      <c r="ES57" s="208"/>
      <c r="ET57" s="208"/>
      <c r="EU57" s="208"/>
      <c r="EV57" s="208"/>
      <c r="EW57"/>
    </row>
    <row r="58" spans="2:153" ht="15.6" x14ac:dyDescent="0.3">
      <c r="B58" s="791" t="s">
        <v>40</v>
      </c>
      <c r="C58" s="775" t="s">
        <v>181</v>
      </c>
      <c r="D58" s="776"/>
      <c r="E58" s="515" t="s">
        <v>297</v>
      </c>
      <c r="F58" s="820" t="s">
        <v>26</v>
      </c>
      <c r="G58" s="787"/>
      <c r="H58" s="192"/>
      <c r="I58" s="207">
        <f>31313.74/100</f>
        <v>313.13740000000001</v>
      </c>
      <c r="J58" s="207">
        <f>36537.42/100</f>
        <v>365.37419999999997</v>
      </c>
      <c r="K58" s="207">
        <f>35020.84/100+2099.08</f>
        <v>2449.2883999999999</v>
      </c>
      <c r="L58" s="207">
        <f>33199.33/100+1850.76</f>
        <v>2182.7532999999999</v>
      </c>
      <c r="M58" s="207">
        <f>29546.58/100+1350.89</f>
        <v>1646.3558</v>
      </c>
      <c r="N58" s="207">
        <f>17044.31/100+ 524.54</f>
        <v>694.98309999999992</v>
      </c>
      <c r="O58" s="224">
        <f>6903.27/100+ 435.61</f>
        <v>504.64269999999999</v>
      </c>
      <c r="P58" s="172"/>
      <c r="Q58" s="225"/>
      <c r="R58" s="207"/>
      <c r="S58" s="207">
        <f>35969.06/100</f>
        <v>359.69059999999996</v>
      </c>
      <c r="T58" s="207">
        <f>33442.53/100</f>
        <v>334.42529999999999</v>
      </c>
      <c r="U58" s="207">
        <f>29500.4/100</f>
        <v>295.00400000000002</v>
      </c>
      <c r="V58" s="207">
        <f>16744.03/100</f>
        <v>167.44029999999998</v>
      </c>
      <c r="W58" s="207">
        <f>6408.96/100</f>
        <v>64.089600000000004</v>
      </c>
      <c r="X58" s="172"/>
      <c r="Y58" s="207">
        <f>33795.22/100</f>
        <v>337.9522</v>
      </c>
      <c r="Z58" s="207">
        <f>38265.57/100</f>
        <v>382.65570000000002</v>
      </c>
      <c r="AA58" s="207">
        <f>37055.19/100</f>
        <v>370.55190000000005</v>
      </c>
      <c r="AB58" s="207">
        <f>33155.91/100</f>
        <v>331.55910000000006</v>
      </c>
      <c r="AC58" s="207">
        <f>25270.69/100</f>
        <v>252.70689999999999</v>
      </c>
      <c r="AD58" s="207">
        <f>15610.45/100</f>
        <v>156.1045</v>
      </c>
      <c r="AE58" s="207">
        <f>7793.04/100</f>
        <v>77.930400000000006</v>
      </c>
      <c r="AG58" s="207">
        <f>32672.53/100</f>
        <v>326.7253</v>
      </c>
      <c r="AH58" s="207">
        <f>36574.48/100</f>
        <v>365.74480000000005</v>
      </c>
      <c r="AI58" s="207">
        <v>348.34</v>
      </c>
      <c r="AJ58" s="207">
        <f>31431.63/100</f>
        <v>314.31630000000001</v>
      </c>
      <c r="AK58" s="207">
        <v>26757.46</v>
      </c>
      <c r="AL58" s="207">
        <v>15353.55</v>
      </c>
      <c r="AM58" s="207">
        <v>4995.1400000000003</v>
      </c>
      <c r="AO58" s="207">
        <f>5113.02/100</f>
        <v>51.130200000000002</v>
      </c>
      <c r="AP58" s="207">
        <f>37664.89/100</f>
        <v>376.64889999999997</v>
      </c>
      <c r="AQ58" s="207">
        <f>36782.89/100</f>
        <v>367.82889999999998</v>
      </c>
      <c r="AR58" s="207">
        <f>32328.98/100</f>
        <v>323.28980000000001</v>
      </c>
      <c r="AS58" s="207">
        <f>26842.18/100</f>
        <v>268.42180000000002</v>
      </c>
      <c r="AT58" s="207">
        <f>19310.24/100</f>
        <v>193.10240000000002</v>
      </c>
      <c r="AU58" s="207">
        <f>9391.46/100</f>
        <v>93.914599999999993</v>
      </c>
      <c r="AW58" s="207"/>
      <c r="AX58" s="207">
        <f>36913.91/100</f>
        <v>369.13910000000004</v>
      </c>
      <c r="AY58" s="207">
        <f>34520.81/100</f>
        <v>345.2081</v>
      </c>
      <c r="AZ58" s="207">
        <f>30664.8/100</f>
        <v>306.64799999999997</v>
      </c>
      <c r="BA58" s="207">
        <f>26462.43/100</f>
        <v>264.62430000000001</v>
      </c>
      <c r="BB58" s="207">
        <f>10985.18/100</f>
        <v>109.8518</v>
      </c>
      <c r="BC58" s="207">
        <f>5723.06/100</f>
        <v>57.230600000000003</v>
      </c>
      <c r="BE58" s="207">
        <f>39284.59/100</f>
        <v>392.84589999999997</v>
      </c>
      <c r="BF58" s="207">
        <f>46718.19/100</f>
        <v>467.18190000000004</v>
      </c>
      <c r="BG58" s="207">
        <f>36996.2/100</f>
        <v>369.96199999999999</v>
      </c>
      <c r="BH58" s="207">
        <f>32339.15/100</f>
        <v>323.39150000000001</v>
      </c>
      <c r="BI58" s="207">
        <f>27676.19/100</f>
        <v>276.76189999999997</v>
      </c>
      <c r="BJ58" s="207">
        <f>15546.87/100</f>
        <v>155.46870000000001</v>
      </c>
      <c r="BK58" s="207">
        <f>6734.85/100</f>
        <v>67.348500000000001</v>
      </c>
      <c r="BM58" s="209">
        <f>37433.54/100</f>
        <v>374.33539999999999</v>
      </c>
      <c r="BN58" s="210">
        <f>43453.57/100</f>
        <v>434.53570000000002</v>
      </c>
      <c r="BO58" s="210">
        <f>36002.08/100</f>
        <v>360.02080000000001</v>
      </c>
      <c r="BP58" s="210">
        <f>32355.39/100</f>
        <v>323.5539</v>
      </c>
      <c r="BQ58" s="210">
        <f>28553.14/100</f>
        <v>285.53140000000002</v>
      </c>
      <c r="BR58" s="210">
        <f>22625.47/100</f>
        <v>226.25470000000001</v>
      </c>
      <c r="BS58" s="211">
        <f>7308.91/100</f>
        <v>73.089100000000002</v>
      </c>
      <c r="BT58" s="255">
        <f>SUM(BM58:BS58)</f>
        <v>2077.3209999999999</v>
      </c>
      <c r="BV58" s="209">
        <f>375</f>
        <v>375</v>
      </c>
      <c r="BW58" s="210">
        <f>42650.72/100</f>
        <v>426.50720000000001</v>
      </c>
      <c r="BX58" s="210">
        <f>40682.75/100</f>
        <v>406.82749999999999</v>
      </c>
      <c r="BY58" s="210">
        <f>34192.92/100</f>
        <v>341.92919999999998</v>
      </c>
      <c r="BZ58" s="210">
        <f>26052.2/100</f>
        <v>260.52199999999999</v>
      </c>
      <c r="CA58" s="210">
        <f>11991.04/100</f>
        <v>119.91040000000001</v>
      </c>
      <c r="CB58" s="211">
        <f>10852.35/100</f>
        <v>108.5235</v>
      </c>
      <c r="CC58" s="255">
        <f>SUM(BV58:CB58)</f>
        <v>2039.2197999999999</v>
      </c>
      <c r="CE58" s="209">
        <f>29276.48/100</f>
        <v>292.76479999999998</v>
      </c>
      <c r="CF58" s="210">
        <f>38696.99/100</f>
        <v>386.9699</v>
      </c>
      <c r="CG58" s="210">
        <f>43188.3/100</f>
        <v>431.88300000000004</v>
      </c>
      <c r="CH58" s="210">
        <f>35844.91/100</f>
        <v>358.44910000000004</v>
      </c>
      <c r="CI58" s="210">
        <v>320.5</v>
      </c>
      <c r="CJ58" s="210">
        <v>224.06</v>
      </c>
      <c r="CK58" s="211">
        <v>66.069999999999993</v>
      </c>
      <c r="CL58" s="255">
        <f>SUM(CE58:CK58)</f>
        <v>2080.6968000000002</v>
      </c>
      <c r="CN58" s="209">
        <v>70.81</v>
      </c>
      <c r="CO58" s="210">
        <f>40622.48/100</f>
        <v>406.22480000000002</v>
      </c>
      <c r="CP58" s="210">
        <f>33011.19/100</f>
        <v>330.11190000000005</v>
      </c>
      <c r="CQ58" s="210">
        <v>390</v>
      </c>
      <c r="CR58" s="210">
        <f>30803.6/100</f>
        <v>308.036</v>
      </c>
      <c r="CS58" s="210">
        <f>30803.6/100</f>
        <v>308.036</v>
      </c>
      <c r="CT58" s="211">
        <f>10452.66/100</f>
        <v>104.5266</v>
      </c>
      <c r="CU58" s="255">
        <f>SUM(CN58:CT58)</f>
        <v>1917.7453</v>
      </c>
      <c r="CW58" s="209">
        <f>43867.59/100</f>
        <v>438.67589999999996</v>
      </c>
      <c r="CX58" s="210">
        <f>5175.53/2</f>
        <v>2587.7649999999999</v>
      </c>
      <c r="CY58" s="210">
        <f>45936.37/100</f>
        <v>459.36370000000005</v>
      </c>
      <c r="CZ58" s="210">
        <f>49361.76/100</f>
        <v>493.61760000000004</v>
      </c>
      <c r="DA58" s="210">
        <f>40658.56/100</f>
        <v>406.5856</v>
      </c>
      <c r="DB58" s="210">
        <f>27936.67/100</f>
        <v>279.36669999999998</v>
      </c>
      <c r="DC58" s="211">
        <f>13431.42/100</f>
        <v>134.3142</v>
      </c>
      <c r="DD58" s="255">
        <f>SUM(CW58:DC58)</f>
        <v>4799.6886999999988</v>
      </c>
      <c r="DF58" s="209">
        <f>41541.15/100</f>
        <v>415.41149999999999</v>
      </c>
      <c r="DG58" s="210">
        <f>47620.22/100</f>
        <v>476.2022</v>
      </c>
      <c r="DH58" s="210">
        <f>48192.54/100</f>
        <v>481.92540000000002</v>
      </c>
      <c r="DI58" s="210">
        <f>31407.32/100</f>
        <v>314.07319999999999</v>
      </c>
      <c r="DJ58" s="210"/>
      <c r="DK58" s="210"/>
      <c r="DL58" s="211"/>
      <c r="DM58" s="255">
        <f>SUM(DF58:DL58)</f>
        <v>1687.6123</v>
      </c>
      <c r="DO58" s="209"/>
      <c r="DP58" s="210"/>
      <c r="DQ58" s="210"/>
      <c r="DR58" s="210"/>
      <c r="DS58" s="210">
        <f xml:space="preserve"> 645.9/100</f>
        <v>6.4589999999999996</v>
      </c>
      <c r="DT58" s="210">
        <f>14875.51/100</f>
        <v>148.7551</v>
      </c>
      <c r="DU58" s="211">
        <f>3962.43/100</f>
        <v>39.624299999999998</v>
      </c>
      <c r="DV58" s="255">
        <f>SUM(DO58:DU58)</f>
        <v>194.83840000000001</v>
      </c>
      <c r="DX58" s="209">
        <f>6203.92/100</f>
        <v>62.039200000000001</v>
      </c>
      <c r="DY58" s="210">
        <f>5262.39/100</f>
        <v>52.623900000000006</v>
      </c>
      <c r="DZ58" s="210">
        <f>5197.65/100</f>
        <v>51.976499999999994</v>
      </c>
      <c r="EA58" s="210">
        <f>23998.08/100</f>
        <v>239.98080000000002</v>
      </c>
      <c r="EB58" s="210"/>
      <c r="EC58" s="210"/>
      <c r="ED58" s="211"/>
      <c r="EE58" s="255">
        <f>SUM(DX58:ED58)</f>
        <v>406.62040000000002</v>
      </c>
      <c r="EG58" s="209"/>
      <c r="EH58" s="210"/>
      <c r="EI58" s="210"/>
      <c r="EJ58" s="210"/>
      <c r="EK58" s="210"/>
      <c r="EL58" s="210"/>
      <c r="EM58" s="211"/>
      <c r="EN58" s="255">
        <f>SUM(EG58:EM58)</f>
        <v>0</v>
      </c>
      <c r="EP58" s="209"/>
      <c r="EQ58" s="210"/>
      <c r="ER58" s="210"/>
      <c r="ES58" s="210"/>
      <c r="ET58" s="210"/>
      <c r="EU58" s="210"/>
      <c r="EV58" s="211"/>
      <c r="EW58" s="255">
        <f>SUM(EP58:EV58)</f>
        <v>0</v>
      </c>
    </row>
    <row r="59" spans="2:153" ht="15.6" x14ac:dyDescent="0.3">
      <c r="B59" s="792"/>
      <c r="C59" s="513" t="s">
        <v>182</v>
      </c>
      <c r="D59" s="514"/>
      <c r="E59" s="515" t="s">
        <v>298</v>
      </c>
      <c r="F59" s="821" t="s">
        <v>26</v>
      </c>
      <c r="G59" s="772"/>
      <c r="H59" s="192"/>
      <c r="I59" s="173"/>
      <c r="J59" s="173"/>
      <c r="K59" s="173"/>
      <c r="L59" s="173"/>
      <c r="M59" s="173"/>
      <c r="N59" s="173"/>
      <c r="O59" s="174"/>
      <c r="P59" s="172"/>
      <c r="Q59" s="175"/>
      <c r="R59" s="173"/>
      <c r="S59" s="173">
        <v>1883.33</v>
      </c>
      <c r="T59" s="173">
        <v>1228.4000000000001</v>
      </c>
      <c r="U59" s="173">
        <v>1090.46</v>
      </c>
      <c r="V59" s="173">
        <v>481.25</v>
      </c>
      <c r="W59" s="173">
        <v>260.27999999999997</v>
      </c>
      <c r="X59" s="172"/>
      <c r="Y59" s="173">
        <v>2223.91</v>
      </c>
      <c r="Z59" s="173">
        <v>2094.8200000000002</v>
      </c>
      <c r="AA59" s="173">
        <v>2117.23</v>
      </c>
      <c r="AB59" s="173">
        <v>1590.32</v>
      </c>
      <c r="AC59" s="173">
        <v>1419.03</v>
      </c>
      <c r="AD59" s="173">
        <v>832.41</v>
      </c>
      <c r="AE59" s="173">
        <v>372.47</v>
      </c>
      <c r="AG59" s="173">
        <v>2147.35</v>
      </c>
      <c r="AH59" s="173">
        <v>2323.69</v>
      </c>
      <c r="AI59" s="173">
        <v>1952.13</v>
      </c>
      <c r="AJ59" s="173">
        <v>1388.27</v>
      </c>
      <c r="AK59" s="173">
        <v>1365.7</v>
      </c>
      <c r="AL59" s="173">
        <v>433.66</v>
      </c>
      <c r="AM59" s="173">
        <v>145.52000000000001</v>
      </c>
      <c r="AO59" s="173">
        <v>108.78</v>
      </c>
      <c r="AP59" s="173">
        <v>2363.0100000000002</v>
      </c>
      <c r="AQ59" s="173">
        <v>1444.29</v>
      </c>
      <c r="AR59" s="173">
        <v>0</v>
      </c>
      <c r="AS59" s="173">
        <v>3747.38</v>
      </c>
      <c r="AT59" s="173">
        <v>715.13</v>
      </c>
      <c r="AU59" s="173">
        <v>505.48</v>
      </c>
      <c r="AW59" s="173"/>
      <c r="AX59" s="173">
        <v>2229.9499999999998</v>
      </c>
      <c r="AY59" s="173">
        <v>2148.13</v>
      </c>
      <c r="AZ59" s="173">
        <v>2080.5500000000002</v>
      </c>
      <c r="BA59" s="173">
        <v>1377.1</v>
      </c>
      <c r="BB59" s="173">
        <v>361.66</v>
      </c>
      <c r="BC59" s="173">
        <v>211.17</v>
      </c>
      <c r="BE59" s="173">
        <v>2345.71</v>
      </c>
      <c r="BF59" s="173">
        <v>2648.71</v>
      </c>
      <c r="BG59" s="173">
        <v>2361.09</v>
      </c>
      <c r="BH59" s="173">
        <v>1944.06</v>
      </c>
      <c r="BI59" s="173">
        <v>1517.17</v>
      </c>
      <c r="BJ59" s="173">
        <v>377.58</v>
      </c>
      <c r="BK59" s="173">
        <v>203.18</v>
      </c>
      <c r="BM59" s="212">
        <v>2269.48</v>
      </c>
      <c r="BN59" s="173">
        <v>2454.5</v>
      </c>
      <c r="BO59" s="173">
        <v>1758.21</v>
      </c>
      <c r="BP59" s="173">
        <v>1890.5</v>
      </c>
      <c r="BQ59" s="173">
        <v>1072.51</v>
      </c>
      <c r="BR59" s="173">
        <v>625.98</v>
      </c>
      <c r="BS59" s="213">
        <v>181.27</v>
      </c>
      <c r="BT59" s="256">
        <f t="shared" ref="BT59:BT61" si="501">SUM(BM59:BS59)</f>
        <v>10252.449999999999</v>
      </c>
      <c r="BV59" s="212">
        <v>1044</v>
      </c>
      <c r="BW59" s="173">
        <v>0</v>
      </c>
      <c r="BX59" s="173">
        <v>2000</v>
      </c>
      <c r="BY59" s="173">
        <v>1221.1500000000001</v>
      </c>
      <c r="BZ59" s="173">
        <v>946.26</v>
      </c>
      <c r="CA59" s="173">
        <v>345.19</v>
      </c>
      <c r="CB59" s="213">
        <v>36.04</v>
      </c>
      <c r="CC59" s="256">
        <f t="shared" ref="CC59:CC61" si="502">SUM(BV59:CB59)</f>
        <v>5592.6399999999994</v>
      </c>
      <c r="CE59" s="212">
        <v>0</v>
      </c>
      <c r="CF59" s="173">
        <v>1758.21</v>
      </c>
      <c r="CG59" s="173">
        <v>1557.5</v>
      </c>
      <c r="CH59" s="173">
        <v>1210.74</v>
      </c>
      <c r="CI59" s="173">
        <v>926</v>
      </c>
      <c r="CJ59" s="173">
        <v>559</v>
      </c>
      <c r="CK59" s="213">
        <v>105</v>
      </c>
      <c r="CL59" s="256">
        <f t="shared" ref="CL59:CL61" si="503">SUM(CE59:CK59)</f>
        <v>6116.45</v>
      </c>
      <c r="CN59" s="212">
        <v>153</v>
      </c>
      <c r="CO59" s="173">
        <v>1963.39</v>
      </c>
      <c r="CP59" s="173">
        <v>1407.01</v>
      </c>
      <c r="CQ59" s="173">
        <v>1586.11</v>
      </c>
      <c r="CR59" s="173">
        <v>986.5</v>
      </c>
      <c r="CS59" s="173"/>
      <c r="CT59" s="213">
        <v>148.61000000000001</v>
      </c>
      <c r="CU59" s="256">
        <f t="shared" ref="CU59:CU61" si="504">SUM(CN59:CT59)</f>
        <v>6244.62</v>
      </c>
      <c r="CW59" s="212">
        <v>0</v>
      </c>
      <c r="CX59" s="173">
        <f>55261.97/2/100</f>
        <v>276.30984999999998</v>
      </c>
      <c r="CY59" s="173">
        <v>1912.76</v>
      </c>
      <c r="CZ59" s="173">
        <v>2056.34</v>
      </c>
      <c r="DA59" s="173">
        <v>1602.49</v>
      </c>
      <c r="DB59" s="173">
        <v>589</v>
      </c>
      <c r="DC59" s="213">
        <v>237.9</v>
      </c>
      <c r="DD59" s="256">
        <f t="shared" ref="DD59:DD61" si="505">SUM(CW59:DC59)</f>
        <v>6674.7998499999994</v>
      </c>
      <c r="DF59" s="212">
        <v>2473.23</v>
      </c>
      <c r="DG59" s="173">
        <v>2385.21</v>
      </c>
      <c r="DH59" s="173">
        <v>2348.98</v>
      </c>
      <c r="DI59" s="173">
        <v>1044.5</v>
      </c>
      <c r="DJ59" s="173"/>
      <c r="DK59" s="173"/>
      <c r="DL59" s="213"/>
      <c r="DM59" s="256">
        <f t="shared" ref="DM59:DM61" si="506">SUM(DF59:DL59)</f>
        <v>8251.92</v>
      </c>
      <c r="DO59" s="212"/>
      <c r="DP59" s="173"/>
      <c r="DQ59" s="173"/>
      <c r="DR59" s="173"/>
      <c r="DS59" s="173">
        <v>1199.08</v>
      </c>
      <c r="DT59" s="173">
        <v>1581.11</v>
      </c>
      <c r="DU59" s="213">
        <v>910.71</v>
      </c>
      <c r="DV59" s="256">
        <f t="shared" ref="DV59:DV61" si="507">SUM(DO59:DU59)</f>
        <v>3690.8999999999996</v>
      </c>
      <c r="DX59" s="212">
        <v>93.71</v>
      </c>
      <c r="DY59" s="173">
        <v>34.18</v>
      </c>
      <c r="DZ59" s="173">
        <v>309.7</v>
      </c>
      <c r="EA59" s="173">
        <v>992.93</v>
      </c>
      <c r="EB59" s="173"/>
      <c r="EC59" s="173"/>
      <c r="ED59" s="213"/>
      <c r="EE59" s="256">
        <f t="shared" ref="EE59:EE61" si="508">SUM(DX59:ED59)</f>
        <v>1430.52</v>
      </c>
      <c r="EG59" s="212"/>
      <c r="EH59" s="173"/>
      <c r="EI59" s="173"/>
      <c r="EJ59" s="173"/>
      <c r="EK59" s="173"/>
      <c r="EL59" s="173"/>
      <c r="EM59" s="213"/>
      <c r="EN59" s="256">
        <f t="shared" ref="EN59:EN61" si="509">SUM(EG59:EM59)</f>
        <v>0</v>
      </c>
      <c r="EP59" s="212"/>
      <c r="EQ59" s="173"/>
      <c r="ER59" s="173"/>
      <c r="ES59" s="173"/>
      <c r="ET59" s="173"/>
      <c r="EU59" s="173"/>
      <c r="EV59" s="213"/>
      <c r="EW59" s="256">
        <f t="shared" ref="EW59:EW61" si="510">SUM(EP59:EV59)</f>
        <v>0</v>
      </c>
    </row>
    <row r="60" spans="2:153" ht="15.6" x14ac:dyDescent="0.3">
      <c r="B60" s="792"/>
      <c r="C60" s="513" t="s">
        <v>183</v>
      </c>
      <c r="D60" s="514"/>
      <c r="E60" s="512" t="s">
        <v>307</v>
      </c>
      <c r="F60" s="821" t="s">
        <v>22</v>
      </c>
      <c r="G60" s="772"/>
      <c r="H60" s="192"/>
      <c r="I60" s="173"/>
      <c r="J60" s="173"/>
      <c r="K60" s="173"/>
      <c r="L60" s="173"/>
      <c r="M60" s="173"/>
      <c r="N60" s="173"/>
      <c r="O60" s="174"/>
      <c r="P60" s="172"/>
      <c r="Q60" s="175"/>
      <c r="R60" s="173"/>
      <c r="S60" s="173">
        <v>7.8</v>
      </c>
      <c r="T60" s="173">
        <v>6.3</v>
      </c>
      <c r="U60" s="173">
        <f>1.45+0.126+1.603</f>
        <v>3.1790000000000003</v>
      </c>
      <c r="V60" s="173"/>
      <c r="W60" s="173"/>
      <c r="X60" s="172"/>
      <c r="Y60" s="173">
        <v>5.4</v>
      </c>
      <c r="Z60" s="173">
        <v>5.68</v>
      </c>
      <c r="AA60" s="173">
        <v>4.7699999999999996</v>
      </c>
      <c r="AB60" s="173">
        <v>4.5999999999999996</v>
      </c>
      <c r="AC60" s="173"/>
      <c r="AD60" s="173"/>
      <c r="AE60" s="173"/>
      <c r="AG60" s="173">
        <v>6.4</v>
      </c>
      <c r="AH60" s="173">
        <v>7.29</v>
      </c>
      <c r="AI60" s="173">
        <v>5.3</v>
      </c>
      <c r="AJ60" s="173">
        <v>5.09</v>
      </c>
      <c r="AK60" s="173"/>
      <c r="AL60" s="173"/>
      <c r="AM60" s="173"/>
      <c r="AO60" s="173"/>
      <c r="AP60" s="173"/>
      <c r="AQ60" s="173"/>
      <c r="AR60" s="173"/>
      <c r="AS60" s="173"/>
      <c r="AT60" s="173"/>
      <c r="AU60" s="173"/>
      <c r="AW60" s="173"/>
      <c r="AX60" s="173"/>
      <c r="AY60" s="173"/>
      <c r="AZ60" s="173"/>
      <c r="BA60" s="173"/>
      <c r="BB60" s="173"/>
      <c r="BC60" s="173"/>
      <c r="BE60" s="173"/>
      <c r="BF60" s="173"/>
      <c r="BG60" s="173"/>
      <c r="BH60" s="173"/>
      <c r="BI60" s="173"/>
      <c r="BJ60" s="173"/>
      <c r="BK60" s="173"/>
      <c r="BM60" s="212"/>
      <c r="BN60" s="173"/>
      <c r="BO60" s="173"/>
      <c r="BP60" s="173"/>
      <c r="BQ60" s="173"/>
      <c r="BR60" s="173"/>
      <c r="BS60" s="213"/>
      <c r="BT60" s="256">
        <f t="shared" si="501"/>
        <v>0</v>
      </c>
      <c r="BV60" s="212"/>
      <c r="BW60" s="173"/>
      <c r="BX60" s="173"/>
      <c r="BY60" s="173"/>
      <c r="BZ60" s="173"/>
      <c r="CA60" s="173"/>
      <c r="CB60" s="213"/>
      <c r="CC60" s="256">
        <f t="shared" si="502"/>
        <v>0</v>
      </c>
      <c r="CE60" s="212"/>
      <c r="CF60" s="173"/>
      <c r="CG60" s="173"/>
      <c r="CH60" s="173"/>
      <c r="CI60" s="173"/>
      <c r="CJ60" s="173"/>
      <c r="CK60" s="213"/>
      <c r="CL60" s="256">
        <f t="shared" si="503"/>
        <v>0</v>
      </c>
      <c r="CN60" s="212"/>
      <c r="CO60" s="173"/>
      <c r="CP60" s="173"/>
      <c r="CQ60" s="173"/>
      <c r="CR60" s="173"/>
      <c r="CS60" s="173"/>
      <c r="CT60" s="213"/>
      <c r="CU60" s="256">
        <f t="shared" si="504"/>
        <v>0</v>
      </c>
      <c r="CW60" s="212"/>
      <c r="CX60" s="173"/>
      <c r="CY60" s="173"/>
      <c r="CZ60" s="173"/>
      <c r="DA60" s="173"/>
      <c r="DB60" s="173"/>
      <c r="DC60" s="213"/>
      <c r="DD60" s="256">
        <f t="shared" si="505"/>
        <v>0</v>
      </c>
      <c r="DF60" s="212"/>
      <c r="DG60" s="173"/>
      <c r="DH60" s="173">
        <v>6.3</v>
      </c>
      <c r="DI60" s="173"/>
      <c r="DJ60" s="173"/>
      <c r="DK60" s="173"/>
      <c r="DL60" s="213"/>
      <c r="DM60" s="256">
        <f t="shared" si="506"/>
        <v>6.3</v>
      </c>
      <c r="DO60" s="212"/>
      <c r="DP60" s="173"/>
      <c r="DQ60" s="173"/>
      <c r="DR60" s="173"/>
      <c r="DS60" s="173"/>
      <c r="DT60" s="173"/>
      <c r="DU60" s="213"/>
      <c r="DV60" s="256">
        <f t="shared" si="507"/>
        <v>0</v>
      </c>
      <c r="DX60" s="212"/>
      <c r="DY60" s="173"/>
      <c r="DZ60" s="173">
        <v>57.92</v>
      </c>
      <c r="EA60" s="173"/>
      <c r="EB60" s="173"/>
      <c r="EC60" s="173"/>
      <c r="ED60" s="213"/>
      <c r="EE60" s="256">
        <f t="shared" si="508"/>
        <v>57.92</v>
      </c>
      <c r="EG60" s="212"/>
      <c r="EH60" s="173"/>
      <c r="EI60" s="173"/>
      <c r="EJ60" s="173"/>
      <c r="EK60" s="173"/>
      <c r="EL60" s="173"/>
      <c r="EM60" s="213"/>
      <c r="EN60" s="256">
        <f t="shared" si="509"/>
        <v>0</v>
      </c>
      <c r="EP60" s="212"/>
      <c r="EQ60" s="173"/>
      <c r="ER60" s="173"/>
      <c r="ES60" s="173"/>
      <c r="ET60" s="173"/>
      <c r="EU60" s="173"/>
      <c r="EV60" s="213"/>
      <c r="EW60" s="256">
        <f t="shared" si="510"/>
        <v>0</v>
      </c>
    </row>
    <row r="61" spans="2:153" ht="16.2" thickBot="1" x14ac:dyDescent="0.35">
      <c r="B61" s="792"/>
      <c r="C61" s="777" t="s">
        <v>184</v>
      </c>
      <c r="D61" s="778"/>
      <c r="E61" s="512" t="s">
        <v>307</v>
      </c>
      <c r="F61" s="821" t="s">
        <v>22</v>
      </c>
      <c r="G61" s="772"/>
      <c r="H61" s="192"/>
      <c r="I61" s="173">
        <v>8.25</v>
      </c>
      <c r="J61" s="173">
        <v>9.3000000000000007</v>
      </c>
      <c r="K61" s="173">
        <v>6.8</v>
      </c>
      <c r="L61" s="173">
        <v>2.8</v>
      </c>
      <c r="M61" s="173">
        <v>3.2</v>
      </c>
      <c r="N61" s="173">
        <v>0</v>
      </c>
      <c r="O61" s="174">
        <v>0</v>
      </c>
      <c r="P61" s="172"/>
      <c r="Q61" s="175">
        <f>2.7+2.9+1.16+0.9+4.09+3.2</f>
        <v>14.95</v>
      </c>
      <c r="R61" s="173">
        <v>8.6</v>
      </c>
      <c r="S61" s="173">
        <f>1.5+3.5+1.09+1.874+1.4</f>
        <v>9.3640000000000008</v>
      </c>
      <c r="T61" s="173"/>
      <c r="U61" s="173"/>
      <c r="V61" s="173"/>
      <c r="W61" s="173"/>
      <c r="X61" s="172"/>
      <c r="Y61" s="173">
        <v>13.9</v>
      </c>
      <c r="Z61" s="173">
        <v>15.12</v>
      </c>
      <c r="AA61" s="173">
        <v>4.45</v>
      </c>
      <c r="AB61" s="173">
        <v>4.4800000000000004</v>
      </c>
      <c r="AC61" s="173">
        <f>0.56+3.203</f>
        <v>3.7629999999999999</v>
      </c>
      <c r="AD61" s="173">
        <f>1.354+0.73</f>
        <v>2.0840000000000001</v>
      </c>
      <c r="AE61" s="173">
        <f>1.24</f>
        <v>1.24</v>
      </c>
      <c r="AG61" s="173">
        <f>3.298+1.285+2.334+1.629+2.975+1.496</f>
        <v>13.016999999999999</v>
      </c>
      <c r="AH61" s="173"/>
      <c r="AI61" s="173">
        <v>11.7</v>
      </c>
      <c r="AJ61" s="173"/>
      <c r="AK61" s="173">
        <v>2.8</v>
      </c>
      <c r="AL61" s="173">
        <v>2.6</v>
      </c>
      <c r="AM61" s="173">
        <v>1.2</v>
      </c>
      <c r="AO61" s="173"/>
      <c r="AP61" s="173"/>
      <c r="AQ61" s="173"/>
      <c r="AR61" s="173"/>
      <c r="AS61" s="173"/>
      <c r="AT61" s="173"/>
      <c r="AU61" s="173"/>
      <c r="AW61" s="173"/>
      <c r="AX61" s="173"/>
      <c r="AY61" s="173"/>
      <c r="AZ61" s="173"/>
      <c r="BA61" s="173"/>
      <c r="BB61" s="173"/>
      <c r="BC61" s="173"/>
      <c r="BE61" s="173"/>
      <c r="BF61" s="173"/>
      <c r="BG61" s="173">
        <v>15.28</v>
      </c>
      <c r="BH61" s="173">
        <v>15.28</v>
      </c>
      <c r="BI61" s="173"/>
      <c r="BJ61" s="173"/>
      <c r="BK61" s="173"/>
      <c r="BM61" s="212"/>
      <c r="BN61" s="173"/>
      <c r="BO61" s="173">
        <v>15.28</v>
      </c>
      <c r="BP61" s="173">
        <v>15.28</v>
      </c>
      <c r="BQ61" s="173"/>
      <c r="BR61" s="173"/>
      <c r="BS61" s="213"/>
      <c r="BT61" s="257">
        <f t="shared" si="501"/>
        <v>30.56</v>
      </c>
      <c r="BV61" s="212"/>
      <c r="BW61" s="173"/>
      <c r="BX61" s="173"/>
      <c r="BY61" s="173"/>
      <c r="BZ61" s="173"/>
      <c r="CA61" s="173"/>
      <c r="CB61" s="213"/>
      <c r="CC61" s="257">
        <f t="shared" si="502"/>
        <v>0</v>
      </c>
      <c r="CE61" s="212"/>
      <c r="CF61" s="173"/>
      <c r="CG61" s="173"/>
      <c r="CH61" s="173"/>
      <c r="CI61" s="173"/>
      <c r="CJ61" s="173"/>
      <c r="CK61" s="213"/>
      <c r="CL61" s="257">
        <f t="shared" si="503"/>
        <v>0</v>
      </c>
      <c r="CN61" s="212"/>
      <c r="CO61" s="173"/>
      <c r="CP61" s="173"/>
      <c r="CQ61" s="173"/>
      <c r="CR61" s="173"/>
      <c r="CS61" s="173"/>
      <c r="CT61" s="213"/>
      <c r="CU61" s="257">
        <f t="shared" si="504"/>
        <v>0</v>
      </c>
      <c r="CW61" s="212">
        <v>17.13</v>
      </c>
      <c r="CX61" s="173"/>
      <c r="CY61" s="173"/>
      <c r="CZ61" s="173"/>
      <c r="DA61" s="173"/>
      <c r="DB61" s="173"/>
      <c r="DC61" s="213"/>
      <c r="DD61" s="257">
        <f t="shared" si="505"/>
        <v>17.13</v>
      </c>
      <c r="DF61" s="212"/>
      <c r="DG61" s="173"/>
      <c r="DH61" s="173">
        <v>7.0000000000000007E-2</v>
      </c>
      <c r="DI61" s="173"/>
      <c r="DJ61" s="173"/>
      <c r="DK61" s="173"/>
      <c r="DL61" s="213"/>
      <c r="DM61" s="257">
        <f t="shared" si="506"/>
        <v>7.0000000000000007E-2</v>
      </c>
      <c r="DO61" s="212"/>
      <c r="DP61" s="173"/>
      <c r="DQ61" s="173"/>
      <c r="DR61" s="173"/>
      <c r="DS61" s="173"/>
      <c r="DT61" s="173"/>
      <c r="DU61" s="213"/>
      <c r="DV61" s="257">
        <f t="shared" si="507"/>
        <v>0</v>
      </c>
      <c r="DX61" s="212"/>
      <c r="DY61" s="173"/>
      <c r="DZ61" s="173"/>
      <c r="EA61" s="173"/>
      <c r="EB61" s="173"/>
      <c r="EC61" s="173"/>
      <c r="ED61" s="213"/>
      <c r="EE61" s="257">
        <f t="shared" si="508"/>
        <v>0</v>
      </c>
      <c r="EG61" s="212"/>
      <c r="EH61" s="173"/>
      <c r="EI61" s="173"/>
      <c r="EJ61" s="173"/>
      <c r="EK61" s="173"/>
      <c r="EL61" s="173"/>
      <c r="EM61" s="213"/>
      <c r="EN61" s="257">
        <f t="shared" si="509"/>
        <v>0</v>
      </c>
      <c r="EP61" s="212"/>
      <c r="EQ61" s="173"/>
      <c r="ER61" s="173"/>
      <c r="ES61" s="173"/>
      <c r="ET61" s="173"/>
      <c r="EU61" s="173"/>
      <c r="EV61" s="213"/>
      <c r="EW61" s="257">
        <f t="shared" si="510"/>
        <v>0</v>
      </c>
    </row>
    <row r="62" spans="2:153" ht="15.6" x14ac:dyDescent="0.3">
      <c r="B62" s="792"/>
      <c r="C62" s="824" t="s">
        <v>62</v>
      </c>
      <c r="D62" s="825"/>
      <c r="E62" s="825"/>
      <c r="F62" s="826" t="s">
        <v>60</v>
      </c>
      <c r="G62" s="827"/>
      <c r="H62" s="192"/>
      <c r="I62" s="198">
        <f t="shared" ref="I62:O62" si="511">I60/I56</f>
        <v>0</v>
      </c>
      <c r="J62" s="198">
        <f t="shared" si="511"/>
        <v>0</v>
      </c>
      <c r="K62" s="198">
        <f t="shared" si="511"/>
        <v>0</v>
      </c>
      <c r="L62" s="198">
        <f t="shared" si="511"/>
        <v>0</v>
      </c>
      <c r="M62" s="198">
        <f t="shared" si="511"/>
        <v>0</v>
      </c>
      <c r="N62" s="198" t="e">
        <f t="shared" si="511"/>
        <v>#DIV/0!</v>
      </c>
      <c r="O62" s="199" t="e">
        <f t="shared" si="511"/>
        <v>#DIV/0!</v>
      </c>
      <c r="P62" s="172"/>
      <c r="Q62" s="200">
        <f>Q60/Q56</f>
        <v>0</v>
      </c>
      <c r="R62" s="198">
        <f>R60/R56</f>
        <v>0</v>
      </c>
      <c r="S62" s="198">
        <f>S60/S56</f>
        <v>37.433829417698881</v>
      </c>
      <c r="T62" s="198">
        <f>T60/T56</f>
        <v>25.865363798914338</v>
      </c>
      <c r="U62" s="198" t="e">
        <f>(U60+U58)/(U56+U59)</f>
        <v>#DIV/0!</v>
      </c>
      <c r="V62" s="198" t="e">
        <f>(V60+V58)/(V56+V59)</f>
        <v>#DIV/0!</v>
      </c>
      <c r="W62" s="198" t="e">
        <f>(W60+W58)/(W56+W59)</f>
        <v>#DIV/0!</v>
      </c>
      <c r="X62" s="172"/>
      <c r="Y62" s="198">
        <f>(Y60+Y58)/(Y56+Y59)</f>
        <v>0.15437865318752425</v>
      </c>
      <c r="Z62" s="198"/>
      <c r="AA62" s="198"/>
      <c r="AB62" s="198"/>
      <c r="AC62" s="198"/>
      <c r="AD62" s="198"/>
      <c r="AE62" s="198"/>
      <c r="AG62" s="198">
        <f t="shared" ref="AG62:AM63" si="512">AG58/AG60</f>
        <v>51.050828124999995</v>
      </c>
      <c r="AH62" s="198">
        <f t="shared" si="512"/>
        <v>50.170754458161873</v>
      </c>
      <c r="AI62" s="198">
        <f t="shared" si="512"/>
        <v>65.724528301886792</v>
      </c>
      <c r="AJ62" s="198">
        <f t="shared" si="512"/>
        <v>61.751728880157174</v>
      </c>
      <c r="AK62" s="198" t="e">
        <f t="shared" si="512"/>
        <v>#DIV/0!</v>
      </c>
      <c r="AL62" s="198" t="e">
        <f t="shared" si="512"/>
        <v>#DIV/0!</v>
      </c>
      <c r="AM62" s="198" t="e">
        <f t="shared" si="512"/>
        <v>#DIV/0!</v>
      </c>
      <c r="AO62" s="198" t="e">
        <f>AO58/AO60</f>
        <v>#DIV/0!</v>
      </c>
      <c r="AP62" s="198" t="e">
        <f>AP58/AP60</f>
        <v>#DIV/0!</v>
      </c>
      <c r="AQ62" s="198"/>
      <c r="AR62" s="198"/>
      <c r="AS62" s="198"/>
      <c r="AT62" s="198"/>
      <c r="AU62" s="198"/>
      <c r="AW62" s="198" t="e">
        <f t="shared" ref="AW62:BC63" si="513">AW58/AW60</f>
        <v>#DIV/0!</v>
      </c>
      <c r="AX62" s="198" t="e">
        <f t="shared" si="513"/>
        <v>#DIV/0!</v>
      </c>
      <c r="AY62" s="198" t="e">
        <f t="shared" si="513"/>
        <v>#DIV/0!</v>
      </c>
      <c r="AZ62" s="198" t="e">
        <f t="shared" si="513"/>
        <v>#DIV/0!</v>
      </c>
      <c r="BA62" s="198" t="e">
        <f t="shared" si="513"/>
        <v>#DIV/0!</v>
      </c>
      <c r="BB62" s="198" t="e">
        <f t="shared" si="513"/>
        <v>#DIV/0!</v>
      </c>
      <c r="BC62" s="198" t="e">
        <f t="shared" si="513"/>
        <v>#DIV/0!</v>
      </c>
      <c r="BE62" s="198" t="e">
        <f t="shared" ref="BE62:BK63" si="514">BE58/BE60</f>
        <v>#DIV/0!</v>
      </c>
      <c r="BF62" s="198" t="e">
        <f t="shared" si="514"/>
        <v>#DIV/0!</v>
      </c>
      <c r="BG62" s="198" t="e">
        <f t="shared" si="514"/>
        <v>#DIV/0!</v>
      </c>
      <c r="BH62" s="198" t="e">
        <f t="shared" si="514"/>
        <v>#DIV/0!</v>
      </c>
      <c r="BI62" s="198" t="e">
        <f t="shared" si="514"/>
        <v>#DIV/0!</v>
      </c>
      <c r="BJ62" s="198" t="e">
        <f t="shared" si="514"/>
        <v>#DIV/0!</v>
      </c>
      <c r="BK62" s="198" t="e">
        <f t="shared" si="514"/>
        <v>#DIV/0!</v>
      </c>
      <c r="BM62" s="237" t="e">
        <f t="shared" ref="BM62:BS63" si="515">BM58/BM60</f>
        <v>#DIV/0!</v>
      </c>
      <c r="BN62" s="198" t="e">
        <f t="shared" si="515"/>
        <v>#DIV/0!</v>
      </c>
      <c r="BO62" s="198" t="e">
        <f t="shared" si="515"/>
        <v>#DIV/0!</v>
      </c>
      <c r="BP62" s="198" t="e">
        <f t="shared" si="515"/>
        <v>#DIV/0!</v>
      </c>
      <c r="BQ62" s="198" t="e">
        <f t="shared" si="515"/>
        <v>#DIV/0!</v>
      </c>
      <c r="BR62" s="198" t="e">
        <f t="shared" si="515"/>
        <v>#DIV/0!</v>
      </c>
      <c r="BS62" s="238" t="e">
        <f t="shared" si="515"/>
        <v>#DIV/0!</v>
      </c>
      <c r="BV62" s="237" t="e">
        <f t="shared" ref="BV62:CB63" si="516">BV58/BV60</f>
        <v>#DIV/0!</v>
      </c>
      <c r="BW62" s="198" t="e">
        <f t="shared" si="516"/>
        <v>#DIV/0!</v>
      </c>
      <c r="BX62" s="198" t="e">
        <f t="shared" si="516"/>
        <v>#DIV/0!</v>
      </c>
      <c r="BY62" s="198" t="e">
        <f t="shared" si="516"/>
        <v>#DIV/0!</v>
      </c>
      <c r="BZ62" s="198" t="e">
        <f t="shared" si="516"/>
        <v>#DIV/0!</v>
      </c>
      <c r="CA62" s="198" t="e">
        <f t="shared" si="516"/>
        <v>#DIV/0!</v>
      </c>
      <c r="CB62" s="238" t="e">
        <f t="shared" si="516"/>
        <v>#DIV/0!</v>
      </c>
      <c r="CE62" s="237" t="e">
        <f t="shared" ref="CE62:CK63" si="517">CE58/CE60</f>
        <v>#DIV/0!</v>
      </c>
      <c r="CF62" s="198" t="e">
        <f t="shared" si="517"/>
        <v>#DIV/0!</v>
      </c>
      <c r="CG62" s="198" t="e">
        <f t="shared" si="517"/>
        <v>#DIV/0!</v>
      </c>
      <c r="CH62" s="198" t="e">
        <f t="shared" si="517"/>
        <v>#DIV/0!</v>
      </c>
      <c r="CI62" s="198" t="e">
        <f t="shared" si="517"/>
        <v>#DIV/0!</v>
      </c>
      <c r="CJ62" s="198" t="e">
        <f t="shared" si="517"/>
        <v>#DIV/0!</v>
      </c>
      <c r="CK62" s="238" t="e">
        <f t="shared" si="517"/>
        <v>#DIV/0!</v>
      </c>
      <c r="CN62" s="237" t="e">
        <f t="shared" ref="CN62:CT62" si="518">CN58/CN60</f>
        <v>#DIV/0!</v>
      </c>
      <c r="CO62" s="198" t="e">
        <f t="shared" si="518"/>
        <v>#DIV/0!</v>
      </c>
      <c r="CP62" s="198" t="e">
        <f t="shared" si="518"/>
        <v>#DIV/0!</v>
      </c>
      <c r="CQ62" s="198" t="e">
        <f t="shared" si="518"/>
        <v>#DIV/0!</v>
      </c>
      <c r="CR62" s="198" t="e">
        <f t="shared" si="518"/>
        <v>#DIV/0!</v>
      </c>
      <c r="CS62" s="198" t="e">
        <f t="shared" si="518"/>
        <v>#DIV/0!</v>
      </c>
      <c r="CT62" s="238" t="e">
        <f t="shared" si="518"/>
        <v>#DIV/0!</v>
      </c>
      <c r="CW62" s="237" t="e">
        <f t="shared" ref="CW62:DC62" si="519">CW58/CW60</f>
        <v>#DIV/0!</v>
      </c>
      <c r="CX62" s="198" t="e">
        <f t="shared" si="519"/>
        <v>#DIV/0!</v>
      </c>
      <c r="CY62" s="198" t="e">
        <f t="shared" si="519"/>
        <v>#DIV/0!</v>
      </c>
      <c r="CZ62" s="198" t="e">
        <f t="shared" si="519"/>
        <v>#DIV/0!</v>
      </c>
      <c r="DA62" s="198" t="e">
        <f t="shared" si="519"/>
        <v>#DIV/0!</v>
      </c>
      <c r="DB62" s="198" t="e">
        <f t="shared" si="519"/>
        <v>#DIV/0!</v>
      </c>
      <c r="DC62" s="238" t="e">
        <f t="shared" si="519"/>
        <v>#DIV/0!</v>
      </c>
      <c r="DF62" s="237" t="e">
        <f t="shared" ref="DF62:DL62" si="520">DF58/DF60</f>
        <v>#DIV/0!</v>
      </c>
      <c r="DG62" s="198" t="e">
        <f t="shared" si="520"/>
        <v>#DIV/0!</v>
      </c>
      <c r="DH62" s="198">
        <f t="shared" si="520"/>
        <v>76.496095238095251</v>
      </c>
      <c r="DI62" s="198" t="e">
        <f t="shared" si="520"/>
        <v>#DIV/0!</v>
      </c>
      <c r="DJ62" s="198" t="e">
        <f t="shared" si="520"/>
        <v>#DIV/0!</v>
      </c>
      <c r="DK62" s="198" t="e">
        <f t="shared" si="520"/>
        <v>#DIV/0!</v>
      </c>
      <c r="DL62" s="238" t="e">
        <f t="shared" si="520"/>
        <v>#DIV/0!</v>
      </c>
      <c r="DO62" s="237" t="e">
        <f t="shared" ref="DO62:DU62" si="521">DO58/DO60</f>
        <v>#DIV/0!</v>
      </c>
      <c r="DP62" s="198" t="e">
        <f t="shared" si="521"/>
        <v>#DIV/0!</v>
      </c>
      <c r="DQ62" s="198" t="e">
        <f t="shared" si="521"/>
        <v>#DIV/0!</v>
      </c>
      <c r="DR62" s="198" t="e">
        <f t="shared" si="521"/>
        <v>#DIV/0!</v>
      </c>
      <c r="DS62" s="198" t="e">
        <f t="shared" si="521"/>
        <v>#DIV/0!</v>
      </c>
      <c r="DT62" s="198" t="e">
        <f t="shared" si="521"/>
        <v>#DIV/0!</v>
      </c>
      <c r="DU62" s="238" t="e">
        <f t="shared" si="521"/>
        <v>#DIV/0!</v>
      </c>
      <c r="DX62" s="237">
        <f>IF(ISNUMBER(DX60),DX58/DX60,)</f>
        <v>0</v>
      </c>
      <c r="DY62" s="237">
        <f t="shared" ref="DY62:ED62" si="522">IF(ISNUMBER(DY60),DY58/DY60,)</f>
        <v>0</v>
      </c>
      <c r="DZ62" s="237">
        <f t="shared" si="522"/>
        <v>0.89738432320441974</v>
      </c>
      <c r="EA62" s="237">
        <f t="shared" si="522"/>
        <v>0</v>
      </c>
      <c r="EB62" s="237">
        <f t="shared" si="522"/>
        <v>0</v>
      </c>
      <c r="EC62" s="237">
        <f t="shared" si="522"/>
        <v>0</v>
      </c>
      <c r="ED62" s="237">
        <f t="shared" si="522"/>
        <v>0</v>
      </c>
      <c r="EG62" s="237">
        <f>IF(ISNUMBER(EG60),EG58/EG60,)</f>
        <v>0</v>
      </c>
      <c r="EH62" s="237">
        <f t="shared" ref="EH62:EM62" si="523">IF(ISNUMBER(EH60),EH58/EH60,)</f>
        <v>0</v>
      </c>
      <c r="EI62" s="237">
        <f t="shared" si="523"/>
        <v>0</v>
      </c>
      <c r="EJ62" s="237">
        <f t="shared" si="523"/>
        <v>0</v>
      </c>
      <c r="EK62" s="237">
        <f t="shared" si="523"/>
        <v>0</v>
      </c>
      <c r="EL62" s="237">
        <f t="shared" si="523"/>
        <v>0</v>
      </c>
      <c r="EM62" s="237">
        <f t="shared" si="523"/>
        <v>0</v>
      </c>
      <c r="EN62"/>
      <c r="EP62" s="237">
        <f>IF(ISNUMBER(EP60),EP58/EP60,)</f>
        <v>0</v>
      </c>
      <c r="EQ62" s="237">
        <f t="shared" ref="EQ62:EV62" si="524">IF(ISNUMBER(EQ60),EQ58/EQ60,)</f>
        <v>0</v>
      </c>
      <c r="ER62" s="237">
        <f t="shared" si="524"/>
        <v>0</v>
      </c>
      <c r="ES62" s="237">
        <f t="shared" si="524"/>
        <v>0</v>
      </c>
      <c r="ET62" s="237">
        <f t="shared" si="524"/>
        <v>0</v>
      </c>
      <c r="EU62" s="237">
        <f t="shared" si="524"/>
        <v>0</v>
      </c>
      <c r="EV62" s="237">
        <f t="shared" si="524"/>
        <v>0</v>
      </c>
      <c r="EW62"/>
    </row>
    <row r="63" spans="2:153" ht="16.2" thickBot="1" x14ac:dyDescent="0.35">
      <c r="B63" s="793"/>
      <c r="C63" s="814" t="s">
        <v>63</v>
      </c>
      <c r="D63" s="815"/>
      <c r="E63" s="815"/>
      <c r="F63" s="818" t="s">
        <v>60</v>
      </c>
      <c r="G63" s="819"/>
      <c r="H63" s="192"/>
      <c r="I63" s="231">
        <f t="shared" ref="I63:O63" si="525">I61/I58</f>
        <v>2.6346262056209189E-2</v>
      </c>
      <c r="J63" s="231">
        <f t="shared" si="525"/>
        <v>2.5453357133590718E-2</v>
      </c>
      <c r="K63" s="231">
        <f t="shared" si="525"/>
        <v>2.7763165824000145E-3</v>
      </c>
      <c r="L63" s="231">
        <f t="shared" si="525"/>
        <v>1.2827835376540261E-3</v>
      </c>
      <c r="M63" s="231">
        <f t="shared" si="525"/>
        <v>1.9436867777912891E-3</v>
      </c>
      <c r="N63" s="231">
        <f t="shared" si="525"/>
        <v>0</v>
      </c>
      <c r="O63" s="232">
        <f t="shared" si="525"/>
        <v>0</v>
      </c>
      <c r="P63" s="172"/>
      <c r="Q63" s="233" t="e">
        <f>Q61/Q58</f>
        <v>#DIV/0!</v>
      </c>
      <c r="R63" s="231" t="e">
        <f>R61/R58</f>
        <v>#DIV/0!</v>
      </c>
      <c r="S63" s="231">
        <f>S61/S58</f>
        <v>2.6033485445546817E-2</v>
      </c>
      <c r="T63" s="231">
        <f>T61/T58</f>
        <v>0</v>
      </c>
      <c r="U63" s="231">
        <f>(U61+U59)/(U58+U60)</f>
        <v>3.6570159935341722</v>
      </c>
      <c r="V63" s="231">
        <f>(V61+V59)/(V58+V60)</f>
        <v>2.8741587300070535</v>
      </c>
      <c r="W63" s="231">
        <f>(W61+W59)/(W58+W60)</f>
        <v>4.0611893349310959</v>
      </c>
      <c r="X63" s="172"/>
      <c r="Y63" s="231">
        <f>(Y61+Y59)/(Y58+Y60)</f>
        <v>6.5175350558406207</v>
      </c>
      <c r="Z63" s="231"/>
      <c r="AA63" s="231"/>
      <c r="AB63" s="231"/>
      <c r="AC63" s="231"/>
      <c r="AD63" s="231"/>
      <c r="AE63" s="231"/>
      <c r="AG63" s="231">
        <f t="shared" si="512"/>
        <v>164.96504570945686</v>
      </c>
      <c r="AH63" s="231" t="e">
        <f t="shared" si="512"/>
        <v>#DIV/0!</v>
      </c>
      <c r="AI63" s="231">
        <f t="shared" si="512"/>
        <v>166.84871794871796</v>
      </c>
      <c r="AJ63" s="231" t="e">
        <f t="shared" si="512"/>
        <v>#DIV/0!</v>
      </c>
      <c r="AK63" s="231">
        <f t="shared" si="512"/>
        <v>487.75000000000006</v>
      </c>
      <c r="AL63" s="231">
        <f t="shared" si="512"/>
        <v>166.7923076923077</v>
      </c>
      <c r="AM63" s="231">
        <f t="shared" si="512"/>
        <v>121.26666666666668</v>
      </c>
      <c r="AO63" s="231" t="e">
        <f>AO59/AO61</f>
        <v>#DIV/0!</v>
      </c>
      <c r="AP63" s="231" t="e">
        <f>AP59/AP61</f>
        <v>#DIV/0!</v>
      </c>
      <c r="AQ63" s="231"/>
      <c r="AR63" s="231"/>
      <c r="AS63" s="231"/>
      <c r="AT63" s="231"/>
      <c r="AU63" s="231"/>
      <c r="AW63" s="231" t="e">
        <f t="shared" si="513"/>
        <v>#DIV/0!</v>
      </c>
      <c r="AX63" s="231" t="e">
        <f t="shared" si="513"/>
        <v>#DIV/0!</v>
      </c>
      <c r="AY63" s="231" t="e">
        <f t="shared" si="513"/>
        <v>#DIV/0!</v>
      </c>
      <c r="AZ63" s="231" t="e">
        <f t="shared" si="513"/>
        <v>#DIV/0!</v>
      </c>
      <c r="BA63" s="231" t="e">
        <f t="shared" si="513"/>
        <v>#DIV/0!</v>
      </c>
      <c r="BB63" s="231" t="e">
        <f t="shared" si="513"/>
        <v>#DIV/0!</v>
      </c>
      <c r="BC63" s="231" t="e">
        <f t="shared" si="513"/>
        <v>#DIV/0!</v>
      </c>
      <c r="BE63" s="231" t="e">
        <f t="shared" si="514"/>
        <v>#DIV/0!</v>
      </c>
      <c r="BF63" s="231" t="e">
        <f t="shared" si="514"/>
        <v>#DIV/0!</v>
      </c>
      <c r="BG63" s="231">
        <f t="shared" si="514"/>
        <v>154.52159685863876</v>
      </c>
      <c r="BH63" s="231">
        <f t="shared" si="514"/>
        <v>127.22905759162303</v>
      </c>
      <c r="BI63" s="231" t="e">
        <f t="shared" si="514"/>
        <v>#DIV/0!</v>
      </c>
      <c r="BJ63" s="231" t="e">
        <f t="shared" si="514"/>
        <v>#DIV/0!</v>
      </c>
      <c r="BK63" s="231" t="e">
        <f t="shared" si="514"/>
        <v>#DIV/0!</v>
      </c>
      <c r="BM63" s="239" t="e">
        <f t="shared" si="515"/>
        <v>#DIV/0!</v>
      </c>
      <c r="BN63" s="240" t="e">
        <f t="shared" si="515"/>
        <v>#DIV/0!</v>
      </c>
      <c r="BO63" s="240">
        <f t="shared" si="515"/>
        <v>115.0660994764398</v>
      </c>
      <c r="BP63" s="240">
        <f t="shared" si="515"/>
        <v>123.7238219895288</v>
      </c>
      <c r="BQ63" s="240" t="e">
        <f t="shared" si="515"/>
        <v>#DIV/0!</v>
      </c>
      <c r="BR63" s="240" t="e">
        <f t="shared" si="515"/>
        <v>#DIV/0!</v>
      </c>
      <c r="BS63" s="241" t="e">
        <f t="shared" si="515"/>
        <v>#DIV/0!</v>
      </c>
      <c r="BV63" s="239" t="e">
        <f t="shared" si="516"/>
        <v>#DIV/0!</v>
      </c>
      <c r="BW63" s="240" t="e">
        <f t="shared" si="516"/>
        <v>#DIV/0!</v>
      </c>
      <c r="BX63" s="240" t="e">
        <f t="shared" si="516"/>
        <v>#DIV/0!</v>
      </c>
      <c r="BY63" s="240" t="e">
        <f t="shared" si="516"/>
        <v>#DIV/0!</v>
      </c>
      <c r="BZ63" s="240" t="e">
        <f t="shared" si="516"/>
        <v>#DIV/0!</v>
      </c>
      <c r="CA63" s="240" t="e">
        <f t="shared" si="516"/>
        <v>#DIV/0!</v>
      </c>
      <c r="CB63" s="241" t="e">
        <f t="shared" si="516"/>
        <v>#DIV/0!</v>
      </c>
      <c r="CE63" s="239" t="e">
        <f t="shared" si="517"/>
        <v>#DIV/0!</v>
      </c>
      <c r="CF63" s="240" t="e">
        <f t="shared" si="517"/>
        <v>#DIV/0!</v>
      </c>
      <c r="CG63" s="240" t="e">
        <f t="shared" si="517"/>
        <v>#DIV/0!</v>
      </c>
      <c r="CH63" s="240" t="e">
        <f t="shared" si="517"/>
        <v>#DIV/0!</v>
      </c>
      <c r="CI63" s="240" t="e">
        <f t="shared" si="517"/>
        <v>#DIV/0!</v>
      </c>
      <c r="CJ63" s="240" t="e">
        <f t="shared" si="517"/>
        <v>#DIV/0!</v>
      </c>
      <c r="CK63" s="241" t="e">
        <f t="shared" si="517"/>
        <v>#DIV/0!</v>
      </c>
      <c r="CN63" s="239" t="e">
        <f t="shared" ref="CN63:CT63" si="526">CN59/CN61</f>
        <v>#DIV/0!</v>
      </c>
      <c r="CO63" s="240" t="e">
        <f t="shared" si="526"/>
        <v>#DIV/0!</v>
      </c>
      <c r="CP63" s="240" t="e">
        <f t="shared" si="526"/>
        <v>#DIV/0!</v>
      </c>
      <c r="CQ63" s="240" t="e">
        <f t="shared" si="526"/>
        <v>#DIV/0!</v>
      </c>
      <c r="CR63" s="240" t="e">
        <f t="shared" si="526"/>
        <v>#DIV/0!</v>
      </c>
      <c r="CS63" s="240" t="e">
        <f t="shared" si="526"/>
        <v>#DIV/0!</v>
      </c>
      <c r="CT63" s="241" t="e">
        <f t="shared" si="526"/>
        <v>#DIV/0!</v>
      </c>
      <c r="CW63" s="239">
        <f t="shared" ref="CW63:DC63" si="527">CW59/CW61</f>
        <v>0</v>
      </c>
      <c r="CX63" s="240" t="e">
        <f t="shared" si="527"/>
        <v>#DIV/0!</v>
      </c>
      <c r="CY63" s="240" t="e">
        <f t="shared" si="527"/>
        <v>#DIV/0!</v>
      </c>
      <c r="CZ63" s="240" t="e">
        <f t="shared" si="527"/>
        <v>#DIV/0!</v>
      </c>
      <c r="DA63" s="240" t="e">
        <f t="shared" si="527"/>
        <v>#DIV/0!</v>
      </c>
      <c r="DB63" s="240" t="e">
        <f t="shared" si="527"/>
        <v>#DIV/0!</v>
      </c>
      <c r="DC63" s="241" t="e">
        <f t="shared" si="527"/>
        <v>#DIV/0!</v>
      </c>
      <c r="DF63" s="239" t="e">
        <f t="shared" ref="DF63:DL63" si="528">DF59/DF61</f>
        <v>#DIV/0!</v>
      </c>
      <c r="DG63" s="240" t="e">
        <f t="shared" si="528"/>
        <v>#DIV/0!</v>
      </c>
      <c r="DH63" s="240">
        <f t="shared" si="528"/>
        <v>33556.857142857138</v>
      </c>
      <c r="DI63" s="240" t="e">
        <f t="shared" si="528"/>
        <v>#DIV/0!</v>
      </c>
      <c r="DJ63" s="240" t="e">
        <f t="shared" si="528"/>
        <v>#DIV/0!</v>
      </c>
      <c r="DK63" s="240" t="e">
        <f t="shared" si="528"/>
        <v>#DIV/0!</v>
      </c>
      <c r="DL63" s="241" t="e">
        <f t="shared" si="528"/>
        <v>#DIV/0!</v>
      </c>
      <c r="DO63" s="239" t="e">
        <f t="shared" ref="DO63:DU63" si="529">DO59/DO61</f>
        <v>#DIV/0!</v>
      </c>
      <c r="DP63" s="240" t="e">
        <f t="shared" si="529"/>
        <v>#DIV/0!</v>
      </c>
      <c r="DQ63" s="240" t="e">
        <f t="shared" si="529"/>
        <v>#DIV/0!</v>
      </c>
      <c r="DR63" s="240" t="e">
        <f t="shared" si="529"/>
        <v>#DIV/0!</v>
      </c>
      <c r="DS63" s="240" t="e">
        <f t="shared" si="529"/>
        <v>#DIV/0!</v>
      </c>
      <c r="DT63" s="240" t="e">
        <f t="shared" si="529"/>
        <v>#DIV/0!</v>
      </c>
      <c r="DU63" s="241" t="e">
        <f t="shared" si="529"/>
        <v>#DIV/0!</v>
      </c>
      <c r="DX63" s="239">
        <f>IF(ISNUMBER(DX61),DX59/DX61,)</f>
        <v>0</v>
      </c>
      <c r="DY63" s="239">
        <f t="shared" ref="DY63:ED63" si="530">IF(ISNUMBER(DY61),DY59/DY61,)</f>
        <v>0</v>
      </c>
      <c r="DZ63" s="239">
        <f t="shared" si="530"/>
        <v>0</v>
      </c>
      <c r="EA63" s="239">
        <f t="shared" si="530"/>
        <v>0</v>
      </c>
      <c r="EB63" s="239">
        <f t="shared" si="530"/>
        <v>0</v>
      </c>
      <c r="EC63" s="239">
        <f t="shared" si="530"/>
        <v>0</v>
      </c>
      <c r="ED63" s="239">
        <f t="shared" si="530"/>
        <v>0</v>
      </c>
      <c r="EG63" s="239">
        <f>IF(ISNUMBER(EG61),EG59/EG61,)</f>
        <v>0</v>
      </c>
      <c r="EH63" s="239">
        <f t="shared" ref="EH63:EM63" si="531">IF(ISNUMBER(EH61),EH59/EH61,)</f>
        <v>0</v>
      </c>
      <c r="EI63" s="239">
        <f t="shared" si="531"/>
        <v>0</v>
      </c>
      <c r="EJ63" s="239">
        <f t="shared" si="531"/>
        <v>0</v>
      </c>
      <c r="EK63" s="239">
        <f t="shared" si="531"/>
        <v>0</v>
      </c>
      <c r="EL63" s="239">
        <f t="shared" si="531"/>
        <v>0</v>
      </c>
      <c r="EM63" s="239">
        <f t="shared" si="531"/>
        <v>0</v>
      </c>
      <c r="EN63"/>
      <c r="EP63" s="239">
        <f>IF(ISNUMBER(EP61),EP59/EP61,)</f>
        <v>0</v>
      </c>
      <c r="EQ63" s="239">
        <f t="shared" ref="EQ63:EV63" si="532">IF(ISNUMBER(EQ61),EQ59/EQ61,)</f>
        <v>0</v>
      </c>
      <c r="ER63" s="239">
        <f t="shared" si="532"/>
        <v>0</v>
      </c>
      <c r="ES63" s="239">
        <f t="shared" si="532"/>
        <v>0</v>
      </c>
      <c r="ET63" s="239">
        <f t="shared" si="532"/>
        <v>0</v>
      </c>
      <c r="EU63" s="239">
        <f t="shared" si="532"/>
        <v>0</v>
      </c>
      <c r="EV63" s="239">
        <f t="shared" si="532"/>
        <v>0</v>
      </c>
      <c r="EW63"/>
    </row>
    <row r="64" spans="2:153" s="655" customFormat="1" ht="16.2" thickBot="1" x14ac:dyDescent="0.35">
      <c r="B64" s="229"/>
      <c r="C64" s="234"/>
      <c r="D64" s="234"/>
      <c r="E64" s="234"/>
      <c r="F64" s="234"/>
      <c r="G64" s="234"/>
      <c r="H64" s="227"/>
      <c r="I64" s="235"/>
      <c r="J64" s="235"/>
      <c r="K64" s="235"/>
      <c r="L64" s="235"/>
      <c r="M64" s="235"/>
      <c r="N64" s="235"/>
      <c r="O64" s="235"/>
      <c r="P64" s="228"/>
      <c r="Q64" s="235"/>
      <c r="R64" s="235"/>
      <c r="S64" s="235"/>
      <c r="T64" s="235"/>
      <c r="U64" s="235"/>
      <c r="V64" s="235"/>
      <c r="W64" s="235"/>
      <c r="X64" s="228"/>
      <c r="Y64" s="235"/>
      <c r="Z64" s="235"/>
      <c r="AA64" s="235"/>
      <c r="AB64" s="235"/>
      <c r="AC64" s="235"/>
      <c r="AD64" s="235"/>
      <c r="AE64" s="235"/>
      <c r="AF64" s="229"/>
      <c r="AG64" s="235"/>
      <c r="AH64" s="235"/>
      <c r="AI64" s="235"/>
      <c r="AJ64" s="235"/>
      <c r="AK64" s="235"/>
      <c r="AL64" s="235"/>
      <c r="AM64" s="235"/>
      <c r="AN64" s="229"/>
      <c r="AO64" s="235"/>
      <c r="AP64" s="235"/>
      <c r="AQ64" s="235"/>
      <c r="AR64" s="235"/>
      <c r="AS64" s="235"/>
      <c r="AT64" s="235"/>
      <c r="AU64" s="235"/>
      <c r="AV64" s="229"/>
      <c r="AW64" s="235"/>
      <c r="AX64" s="235"/>
      <c r="AY64" s="235"/>
      <c r="AZ64" s="235"/>
      <c r="BA64" s="235"/>
      <c r="BB64" s="235"/>
      <c r="BC64" s="235"/>
      <c r="BD64" s="229"/>
      <c r="BE64" s="235"/>
      <c r="BF64" s="235"/>
      <c r="BG64" s="235"/>
      <c r="BH64" s="235"/>
      <c r="BI64" s="235"/>
      <c r="BJ64" s="235"/>
      <c r="BK64" s="235"/>
      <c r="BL64" s="229"/>
      <c r="BM64" s="235"/>
      <c r="BN64" s="235"/>
      <c r="BO64" s="235"/>
      <c r="BP64" s="235"/>
      <c r="BQ64" s="235"/>
      <c r="BR64" s="235"/>
      <c r="BS64" s="235"/>
      <c r="BT64"/>
      <c r="BU64" s="229"/>
      <c r="BV64" s="235"/>
      <c r="BW64" s="235"/>
      <c r="BX64" s="235"/>
      <c r="BY64" s="235"/>
      <c r="BZ64" s="235"/>
      <c r="CA64" s="235"/>
      <c r="CB64" s="235"/>
      <c r="CC64"/>
      <c r="CD64" s="229"/>
      <c r="CE64" s="235"/>
      <c r="CF64" s="235"/>
      <c r="CG64" s="235"/>
      <c r="CH64" s="235"/>
      <c r="CI64" s="235"/>
      <c r="CJ64" s="235"/>
      <c r="CK64" s="235"/>
      <c r="CL64"/>
      <c r="CM64" s="229"/>
      <c r="CN64" s="235"/>
      <c r="CO64" s="235"/>
      <c r="CP64" s="235"/>
      <c r="CQ64" s="235"/>
      <c r="CR64" s="235"/>
      <c r="CS64" s="235"/>
      <c r="CT64" s="235"/>
      <c r="CU64"/>
      <c r="CV64" s="229"/>
      <c r="CW64" s="235"/>
      <c r="CX64" s="235"/>
      <c r="CY64" s="235"/>
      <c r="CZ64" s="235"/>
      <c r="DA64" s="235"/>
      <c r="DB64" s="235"/>
      <c r="DC64" s="235"/>
      <c r="DD64"/>
      <c r="DE64" s="229"/>
      <c r="DF64" s="235"/>
      <c r="DG64" s="235"/>
      <c r="DH64" s="235"/>
      <c r="DI64" s="235"/>
      <c r="DJ64" s="235"/>
      <c r="DK64" s="235"/>
      <c r="DL64" s="235"/>
      <c r="DM64"/>
      <c r="DN64" s="229"/>
      <c r="DO64" s="235"/>
      <c r="DP64" s="235"/>
      <c r="DQ64" s="235"/>
      <c r="DR64" s="235"/>
      <c r="DS64" s="235"/>
      <c r="DT64" s="235"/>
      <c r="DU64" s="235"/>
      <c r="DV64"/>
      <c r="DW64" s="229"/>
      <c r="DX64" s="235"/>
      <c r="DY64" s="235"/>
      <c r="DZ64" s="235"/>
      <c r="EA64" s="235"/>
      <c r="EB64" s="235"/>
      <c r="EC64" s="235"/>
      <c r="ED64" s="235"/>
      <c r="EE64"/>
      <c r="EF64" s="229"/>
      <c r="EG64" s="235"/>
      <c r="EH64" s="235"/>
      <c r="EI64" s="235"/>
      <c r="EJ64" s="235"/>
      <c r="EK64" s="235"/>
      <c r="EL64" s="235"/>
      <c r="EM64" s="235"/>
      <c r="EN64"/>
      <c r="EP64" s="235"/>
      <c r="EQ64" s="235"/>
      <c r="ER64" s="235"/>
      <c r="ES64" s="235"/>
      <c r="ET64" s="235"/>
      <c r="EU64" s="235"/>
      <c r="EV64" s="235"/>
      <c r="EW64"/>
    </row>
    <row r="65" spans="2:153" ht="15.75" customHeight="1" x14ac:dyDescent="0.3">
      <c r="B65" s="837" t="s">
        <v>276</v>
      </c>
      <c r="C65" s="451" t="s">
        <v>83</v>
      </c>
      <c r="D65" s="454" t="s">
        <v>26</v>
      </c>
      <c r="E65" s="521" t="s">
        <v>313</v>
      </c>
      <c r="F65" s="405">
        <v>80186</v>
      </c>
      <c r="G65" s="408" t="s">
        <v>37</v>
      </c>
      <c r="CE65" s="209">
        <v>0</v>
      </c>
      <c r="CF65" s="210">
        <v>362.14</v>
      </c>
      <c r="CG65" s="210">
        <v>134.13</v>
      </c>
      <c r="CH65" s="210">
        <v>131.79</v>
      </c>
      <c r="CI65" s="210">
        <v>137</v>
      </c>
      <c r="CJ65" s="210">
        <v>124</v>
      </c>
      <c r="CK65" s="211">
        <v>128</v>
      </c>
      <c r="CL65" s="410">
        <f t="shared" ref="CL65:CL68" si="533">SUM(CE65:CK65)</f>
        <v>1017.06</v>
      </c>
      <c r="CN65" s="209">
        <v>128</v>
      </c>
      <c r="CO65" s="210">
        <v>136.22999999999999</v>
      </c>
      <c r="CP65" s="210">
        <v>92.91</v>
      </c>
      <c r="CQ65" s="210">
        <v>126.64</v>
      </c>
      <c r="CR65" s="210">
        <v>144.12</v>
      </c>
      <c r="CS65" s="210">
        <v>143.03</v>
      </c>
      <c r="CT65" s="211">
        <v>103.31</v>
      </c>
      <c r="CU65" s="410">
        <f t="shared" ref="CU65:CU68" si="534">SUM(CN65:CT65)</f>
        <v>874.24</v>
      </c>
      <c r="CW65" s="209">
        <v>0</v>
      </c>
      <c r="CX65" s="210">
        <v>294.63</v>
      </c>
      <c r="CY65" s="210">
        <v>119.01</v>
      </c>
      <c r="CZ65" s="210">
        <v>118.99</v>
      </c>
      <c r="DA65" s="210">
        <v>116.06</v>
      </c>
      <c r="DB65" s="210">
        <v>119.6</v>
      </c>
      <c r="DC65" s="211">
        <v>133.15</v>
      </c>
      <c r="DD65" s="410">
        <f t="shared" ref="DD65:DD68" si="535">SUM(CW65:DC65)</f>
        <v>901.44</v>
      </c>
      <c r="DF65" s="209">
        <v>139.27000000000001</v>
      </c>
      <c r="DG65" s="210">
        <v>129.91999999999999</v>
      </c>
      <c r="DH65" s="210">
        <v>94.07</v>
      </c>
      <c r="DI65" s="210">
        <v>126.49</v>
      </c>
      <c r="DJ65" s="210"/>
      <c r="DK65" s="210"/>
      <c r="DL65" s="211"/>
      <c r="DM65" s="410">
        <f t="shared" ref="DM65:DM68" si="536">SUM(DF65:DL65)</f>
        <v>489.75</v>
      </c>
      <c r="DO65" s="209"/>
      <c r="DP65" s="210"/>
      <c r="DQ65" s="210"/>
      <c r="DR65" s="210"/>
      <c r="DS65" s="210">
        <v>112.52</v>
      </c>
      <c r="DT65" s="210">
        <v>127.75</v>
      </c>
      <c r="DU65" s="211">
        <v>124.2</v>
      </c>
      <c r="DV65" s="410">
        <f t="shared" ref="DV65:DV68" si="537">SUM(DO65:DU65)</f>
        <v>364.46999999999997</v>
      </c>
      <c r="DX65" s="209">
        <v>124.85</v>
      </c>
      <c r="DY65" s="210">
        <v>116.52</v>
      </c>
      <c r="DZ65" s="210">
        <v>113.63</v>
      </c>
      <c r="EA65" s="210">
        <v>109.94</v>
      </c>
      <c r="EB65" s="210"/>
      <c r="EC65" s="210"/>
      <c r="ED65" s="211"/>
      <c r="EE65" s="410">
        <f t="shared" ref="EE65:EE68" si="538">SUM(DX65:ED65)</f>
        <v>464.94</v>
      </c>
      <c r="EG65" s="209"/>
      <c r="EH65" s="210"/>
      <c r="EI65" s="210"/>
      <c r="EJ65" s="210"/>
      <c r="EK65" s="210"/>
      <c r="EL65" s="210"/>
      <c r="EM65" s="211"/>
      <c r="EN65" s="410">
        <f t="shared" ref="EN65:EN68" si="539">SUM(EG65:EM65)</f>
        <v>0</v>
      </c>
      <c r="EP65" s="209"/>
      <c r="EQ65" s="210"/>
      <c r="ER65" s="210"/>
      <c r="ES65" s="210"/>
      <c r="ET65" s="210"/>
      <c r="EU65" s="210"/>
      <c r="EV65" s="211"/>
      <c r="EW65" s="410">
        <f t="shared" ref="EW65:EW68" si="540">SUM(EP65:EV65)</f>
        <v>0</v>
      </c>
    </row>
    <row r="66" spans="2:153" ht="15.6" x14ac:dyDescent="0.3">
      <c r="B66" s="838"/>
      <c r="C66" s="145" t="s">
        <v>27</v>
      </c>
      <c r="D66" s="455" t="s">
        <v>28</v>
      </c>
      <c r="E66" s="120" t="s">
        <v>312</v>
      </c>
      <c r="F66" s="406">
        <v>8790.0375094339615</v>
      </c>
      <c r="G66" s="97" t="s">
        <v>37</v>
      </c>
      <c r="CE66" s="212">
        <v>8506</v>
      </c>
      <c r="CF66" s="173">
        <v>6318</v>
      </c>
      <c r="CG66" s="173">
        <v>9456</v>
      </c>
      <c r="CH66" s="173">
        <v>6379</v>
      </c>
      <c r="CI66" s="173">
        <v>933</v>
      </c>
      <c r="CJ66" s="173">
        <v>285</v>
      </c>
      <c r="CK66" s="213">
        <v>0</v>
      </c>
      <c r="CL66" s="411">
        <f t="shared" si="533"/>
        <v>31877</v>
      </c>
      <c r="CN66" s="212">
        <v>1049</v>
      </c>
      <c r="CO66" s="173">
        <v>8879</v>
      </c>
      <c r="CP66" s="173">
        <v>10076</v>
      </c>
      <c r="CQ66" s="173">
        <v>7948</v>
      </c>
      <c r="CR66" s="173">
        <v>4522</v>
      </c>
      <c r="CS66" s="173">
        <v>160</v>
      </c>
      <c r="CT66" s="213">
        <v>361</v>
      </c>
      <c r="CU66" s="411">
        <f t="shared" si="534"/>
        <v>32995</v>
      </c>
      <c r="CW66" s="212">
        <v>9999</v>
      </c>
      <c r="CX66" s="173">
        <v>9171</v>
      </c>
      <c r="CY66" s="173">
        <v>8490</v>
      </c>
      <c r="CZ66" s="173">
        <v>8511</v>
      </c>
      <c r="DA66" s="173">
        <v>4951</v>
      </c>
      <c r="DB66" s="173">
        <v>991.5</v>
      </c>
      <c r="DC66" s="213">
        <v>449</v>
      </c>
      <c r="DD66" s="411">
        <f t="shared" si="535"/>
        <v>42562.5</v>
      </c>
      <c r="DF66" s="212">
        <v>9169</v>
      </c>
      <c r="DG66" s="173">
        <v>7395</v>
      </c>
      <c r="DH66" s="173">
        <v>7444.6</v>
      </c>
      <c r="DI66" s="173">
        <v>2910</v>
      </c>
      <c r="DJ66" s="173"/>
      <c r="DK66" s="173"/>
      <c r="DL66" s="213"/>
      <c r="DM66" s="411">
        <f t="shared" si="536"/>
        <v>26918.6</v>
      </c>
      <c r="DO66" s="212"/>
      <c r="DP66" s="173"/>
      <c r="DQ66" s="173"/>
      <c r="DR66" s="173"/>
      <c r="DS66" s="173">
        <v>993.8</v>
      </c>
      <c r="DT66" s="173">
        <v>265.89999999999998</v>
      </c>
      <c r="DU66" s="213">
        <v>149</v>
      </c>
      <c r="DV66" s="411">
        <f t="shared" si="537"/>
        <v>1408.6999999999998</v>
      </c>
      <c r="DX66" s="212">
        <v>173</v>
      </c>
      <c r="DY66" s="173">
        <v>947.7</v>
      </c>
      <c r="DZ66" s="173">
        <v>6945</v>
      </c>
      <c r="EA66" s="173">
        <v>9419</v>
      </c>
      <c r="EB66" s="173"/>
      <c r="EC66" s="173"/>
      <c r="ED66" s="213"/>
      <c r="EE66" s="411">
        <f t="shared" si="538"/>
        <v>17484.7</v>
      </c>
      <c r="EG66" s="212"/>
      <c r="EH66" s="173"/>
      <c r="EI66" s="173"/>
      <c r="EJ66" s="173"/>
      <c r="EK66" s="173"/>
      <c r="EL66" s="173"/>
      <c r="EM66" s="213"/>
      <c r="EN66" s="411">
        <f t="shared" si="539"/>
        <v>0</v>
      </c>
      <c r="EP66" s="212"/>
      <c r="EQ66" s="173"/>
      <c r="ER66" s="173"/>
      <c r="ES66" s="173"/>
      <c r="ET66" s="173"/>
      <c r="EU66" s="173"/>
      <c r="EV66" s="213"/>
      <c r="EW66" s="411">
        <f t="shared" si="540"/>
        <v>0</v>
      </c>
    </row>
    <row r="67" spans="2:153" ht="15.6" x14ac:dyDescent="0.3">
      <c r="B67" s="838"/>
      <c r="C67" s="145" t="s">
        <v>29</v>
      </c>
      <c r="D67" s="455" t="s">
        <v>30</v>
      </c>
      <c r="E67" s="520" t="s">
        <v>311</v>
      </c>
      <c r="F67" s="406">
        <v>98</v>
      </c>
      <c r="G67" s="97" t="s">
        <v>37</v>
      </c>
      <c r="CE67" s="212">
        <v>85.88</v>
      </c>
      <c r="CF67" s="173">
        <v>65.42</v>
      </c>
      <c r="CG67" s="173">
        <v>93.86</v>
      </c>
      <c r="CH67" s="173">
        <v>66.3</v>
      </c>
      <c r="CI67" s="173">
        <v>13.93</v>
      </c>
      <c r="CJ67" s="173">
        <v>9.82</v>
      </c>
      <c r="CK67" s="213">
        <v>7.12</v>
      </c>
      <c r="CL67" s="411">
        <f t="shared" si="533"/>
        <v>342.33000000000004</v>
      </c>
      <c r="CN67" s="212">
        <v>11.25</v>
      </c>
      <c r="CO67" s="173">
        <v>85.39</v>
      </c>
      <c r="CP67" s="173">
        <v>104.5</v>
      </c>
      <c r="CQ67" s="173">
        <v>71.75</v>
      </c>
      <c r="CR67" s="173">
        <v>45.91</v>
      </c>
      <c r="CS67" s="173">
        <v>6.9</v>
      </c>
      <c r="CT67" s="213">
        <v>6.02</v>
      </c>
      <c r="CU67" s="411">
        <f t="shared" si="534"/>
        <v>331.71999999999991</v>
      </c>
      <c r="CW67" s="212">
        <v>103.96</v>
      </c>
      <c r="CX67" s="173">
        <v>84.05</v>
      </c>
      <c r="CY67" s="173">
        <v>83.56</v>
      </c>
      <c r="CZ67" s="173">
        <v>85.57</v>
      </c>
      <c r="DA67" s="173">
        <v>58.37</v>
      </c>
      <c r="DB67" s="173">
        <v>15.82</v>
      </c>
      <c r="DC67" s="213">
        <v>14.31</v>
      </c>
      <c r="DD67" s="411">
        <f t="shared" si="535"/>
        <v>445.64</v>
      </c>
      <c r="DF67" s="212">
        <v>82.37</v>
      </c>
      <c r="DG67" s="173">
        <v>79.67</v>
      </c>
      <c r="DH67" s="173">
        <v>63.01</v>
      </c>
      <c r="DI67" s="173">
        <v>34.35</v>
      </c>
      <c r="DJ67" s="173"/>
      <c r="DK67" s="173"/>
      <c r="DL67" s="213"/>
      <c r="DM67" s="411">
        <f t="shared" si="536"/>
        <v>259.40000000000003</v>
      </c>
      <c r="DO67" s="212"/>
      <c r="DP67" s="173"/>
      <c r="DQ67" s="173"/>
      <c r="DR67" s="173"/>
      <c r="DS67" s="173">
        <v>0</v>
      </c>
      <c r="DT67" s="173">
        <v>0.14000000000000001</v>
      </c>
      <c r="DU67" s="213">
        <v>0</v>
      </c>
      <c r="DV67" s="411">
        <f t="shared" si="537"/>
        <v>0.14000000000000001</v>
      </c>
      <c r="DX67" s="212">
        <v>0.93</v>
      </c>
      <c r="DY67" s="173">
        <v>7.04</v>
      </c>
      <c r="DZ67" s="173">
        <v>72.75</v>
      </c>
      <c r="EA67" s="173">
        <v>83.6</v>
      </c>
      <c r="EB67" s="173"/>
      <c r="EC67" s="173"/>
      <c r="ED67" s="213"/>
      <c r="EE67" s="411">
        <f t="shared" si="538"/>
        <v>164.32</v>
      </c>
      <c r="EG67" s="212"/>
      <c r="EH67" s="173"/>
      <c r="EI67" s="173"/>
      <c r="EJ67" s="173"/>
      <c r="EK67" s="173"/>
      <c r="EL67" s="173"/>
      <c r="EM67" s="213"/>
      <c r="EN67" s="411">
        <f t="shared" si="539"/>
        <v>0</v>
      </c>
      <c r="EP67" s="212"/>
      <c r="EQ67" s="173"/>
      <c r="ER67" s="173"/>
      <c r="ES67" s="173"/>
      <c r="ET67" s="173"/>
      <c r="EU67" s="173"/>
      <c r="EV67" s="213"/>
      <c r="EW67" s="411">
        <f t="shared" si="540"/>
        <v>0</v>
      </c>
    </row>
    <row r="68" spans="2:153" ht="15.6" x14ac:dyDescent="0.3">
      <c r="B68" s="838"/>
      <c r="C68" s="145" t="s">
        <v>87</v>
      </c>
      <c r="D68" s="455" t="s">
        <v>88</v>
      </c>
      <c r="E68" s="520" t="s">
        <v>309</v>
      </c>
      <c r="F68" s="406">
        <v>89.611446487650952</v>
      </c>
      <c r="G68" s="97" t="s">
        <v>37</v>
      </c>
      <c r="CE68" s="212">
        <v>83.94</v>
      </c>
      <c r="CF68" s="173">
        <v>61.44</v>
      </c>
      <c r="CG68" s="173">
        <v>95.73</v>
      </c>
      <c r="CH68" s="173">
        <v>61.19</v>
      </c>
      <c r="CI68" s="173">
        <v>7.91</v>
      </c>
      <c r="CJ68" s="173">
        <v>2.27</v>
      </c>
      <c r="CK68" s="213">
        <v>0</v>
      </c>
      <c r="CL68" s="412">
        <f t="shared" si="533"/>
        <v>312.48</v>
      </c>
      <c r="CN68" s="212">
        <v>7.7</v>
      </c>
      <c r="CO68" s="173">
        <v>88.78</v>
      </c>
      <c r="CP68" s="173">
        <v>68.44</v>
      </c>
      <c r="CQ68" s="173">
        <v>75.31</v>
      </c>
      <c r="CR68" s="173">
        <v>44.63</v>
      </c>
      <c r="CS68" s="173">
        <v>1.22</v>
      </c>
      <c r="CT68" s="213">
        <v>4.41</v>
      </c>
      <c r="CU68" s="411">
        <f t="shared" si="534"/>
        <v>290.49000000000007</v>
      </c>
      <c r="CW68" s="212">
        <v>105.97</v>
      </c>
      <c r="CX68" s="173">
        <v>90.38</v>
      </c>
      <c r="CY68" s="173">
        <v>83.64</v>
      </c>
      <c r="CZ68" s="173">
        <v>90.92</v>
      </c>
      <c r="DA68" s="173">
        <v>51.61</v>
      </c>
      <c r="DB68" s="173">
        <v>8.73</v>
      </c>
      <c r="DC68" s="213">
        <v>4.03</v>
      </c>
      <c r="DD68" s="411">
        <f t="shared" si="535"/>
        <v>435.28000000000003</v>
      </c>
      <c r="DF68" s="212">
        <v>93.28</v>
      </c>
      <c r="DG68" s="173">
        <v>68.39</v>
      </c>
      <c r="DH68" s="173">
        <v>75.2</v>
      </c>
      <c r="DI68" s="173">
        <v>31.38</v>
      </c>
      <c r="DJ68" s="173"/>
      <c r="DK68" s="173"/>
      <c r="DL68" s="213"/>
      <c r="DM68" s="411">
        <f t="shared" si="536"/>
        <v>268.25</v>
      </c>
      <c r="DO68" s="212"/>
      <c r="DP68" s="173"/>
      <c r="DQ68" s="173"/>
      <c r="DR68" s="173"/>
      <c r="DS68" s="173">
        <v>8.5500000000000007</v>
      </c>
      <c r="DT68" s="173">
        <v>1.52</v>
      </c>
      <c r="DU68" s="213">
        <v>0.95</v>
      </c>
      <c r="DV68" s="411">
        <f t="shared" si="537"/>
        <v>11.02</v>
      </c>
      <c r="DX68" s="212">
        <v>0.28000000000000003</v>
      </c>
      <c r="DY68" s="173">
        <v>5.7</v>
      </c>
      <c r="DZ68" s="173">
        <v>82.72</v>
      </c>
      <c r="EA68" s="173">
        <v>97.8</v>
      </c>
      <c r="EB68" s="173"/>
      <c r="EC68" s="173"/>
      <c r="ED68" s="213"/>
      <c r="EE68" s="411">
        <f t="shared" si="538"/>
        <v>186.5</v>
      </c>
      <c r="EG68" s="212"/>
      <c r="EH68" s="173"/>
      <c r="EI68" s="173"/>
      <c r="EJ68" s="173"/>
      <c r="EK68" s="173"/>
      <c r="EL68" s="173"/>
      <c r="EM68" s="213"/>
      <c r="EN68" s="411">
        <f t="shared" si="539"/>
        <v>0</v>
      </c>
      <c r="EP68" s="212"/>
      <c r="EQ68" s="173"/>
      <c r="ER68" s="173"/>
      <c r="ES68" s="173"/>
      <c r="ET68" s="173"/>
      <c r="EU68" s="173"/>
      <c r="EV68" s="213"/>
      <c r="EW68" s="411">
        <f t="shared" si="540"/>
        <v>0</v>
      </c>
    </row>
    <row r="69" spans="2:153" ht="16.2" thickBot="1" x14ac:dyDescent="0.35">
      <c r="B69" s="839"/>
      <c r="C69" s="151" t="s">
        <v>90</v>
      </c>
      <c r="D69" s="456" t="s">
        <v>91</v>
      </c>
      <c r="E69" s="264" t="s">
        <v>310</v>
      </c>
      <c r="F69" s="407">
        <v>89.628</v>
      </c>
      <c r="G69" s="104" t="s">
        <v>37</v>
      </c>
      <c r="CE69" s="239">
        <f t="shared" ref="CE69:CH69" si="541">CE66/CE68</f>
        <v>101.33428639504409</v>
      </c>
      <c r="CF69" s="240">
        <f t="shared" si="541"/>
        <v>102.83203125</v>
      </c>
      <c r="CG69" s="240">
        <f t="shared" si="541"/>
        <v>98.777812597931685</v>
      </c>
      <c r="CH69" s="240">
        <f t="shared" si="541"/>
        <v>104.24906030397123</v>
      </c>
      <c r="CI69" s="240"/>
      <c r="CJ69" s="240"/>
      <c r="CK69" s="241"/>
      <c r="CL69" s="413">
        <f t="shared" ref="CL69" si="542">AVERAGE(CE69:CK69)</f>
        <v>101.79829763673676</v>
      </c>
      <c r="CN69" s="239">
        <f t="shared" ref="CN69:CT69" si="543">CN66/CN68</f>
        <v>136.23376623376623</v>
      </c>
      <c r="CO69" s="240">
        <f t="shared" si="543"/>
        <v>100.01126379815274</v>
      </c>
      <c r="CP69" s="240">
        <f t="shared" si="543"/>
        <v>147.22384570426652</v>
      </c>
      <c r="CQ69" s="240">
        <f t="shared" si="543"/>
        <v>105.53711326517063</v>
      </c>
      <c r="CR69" s="240">
        <f t="shared" si="543"/>
        <v>101.32198073045036</v>
      </c>
      <c r="CS69" s="240">
        <f t="shared" si="543"/>
        <v>131.14754098360655</v>
      </c>
      <c r="CT69" s="240">
        <f t="shared" si="543"/>
        <v>81.859410430839006</v>
      </c>
      <c r="CU69" s="413">
        <f t="shared" ref="CU69" si="544">AVERAGE(CN69:CT69)</f>
        <v>114.76213159232172</v>
      </c>
      <c r="CW69" s="239">
        <f t="shared" ref="CW69:DC69" si="545">CW66/CW68</f>
        <v>94.356893460413332</v>
      </c>
      <c r="CX69" s="240">
        <f t="shared" si="545"/>
        <v>101.47156450542155</v>
      </c>
      <c r="CY69" s="240">
        <f t="shared" si="545"/>
        <v>101.50645624103299</v>
      </c>
      <c r="CZ69" s="240">
        <f t="shared" si="545"/>
        <v>93.609766827980636</v>
      </c>
      <c r="DA69" s="240">
        <f t="shared" si="545"/>
        <v>95.931021119937995</v>
      </c>
      <c r="DB69" s="240">
        <f t="shared" si="545"/>
        <v>113.57388316151203</v>
      </c>
      <c r="DC69" s="240">
        <f t="shared" si="545"/>
        <v>111.41439205955334</v>
      </c>
      <c r="DD69" s="413">
        <f t="shared" ref="DD69" si="546">AVERAGE(CW69:DC69)</f>
        <v>101.69485391083597</v>
      </c>
      <c r="DF69" s="239">
        <f t="shared" ref="DF69:DL69" si="547">DF66/DF68</f>
        <v>98.295454545454547</v>
      </c>
      <c r="DG69" s="240">
        <f t="shared" si="547"/>
        <v>108.12984354437783</v>
      </c>
      <c r="DH69" s="240">
        <f t="shared" si="547"/>
        <v>98.997340425531917</v>
      </c>
      <c r="DI69" s="240">
        <f t="shared" si="547"/>
        <v>92.734225621414922</v>
      </c>
      <c r="DJ69" s="240" t="e">
        <f t="shared" si="547"/>
        <v>#DIV/0!</v>
      </c>
      <c r="DK69" s="240" t="e">
        <f t="shared" si="547"/>
        <v>#DIV/0!</v>
      </c>
      <c r="DL69" s="240" t="e">
        <f t="shared" si="547"/>
        <v>#DIV/0!</v>
      </c>
      <c r="DM69" s="413" t="e">
        <f t="shared" ref="DM69" si="548">AVERAGE(DF69:DL69)</f>
        <v>#DIV/0!</v>
      </c>
      <c r="DO69" s="239" t="e">
        <f t="shared" ref="DO69:DU69" si="549">DO66/DO68</f>
        <v>#DIV/0!</v>
      </c>
      <c r="DP69" s="240" t="e">
        <f t="shared" si="549"/>
        <v>#DIV/0!</v>
      </c>
      <c r="DQ69" s="240" t="e">
        <f t="shared" si="549"/>
        <v>#DIV/0!</v>
      </c>
      <c r="DR69" s="240" t="e">
        <f t="shared" si="549"/>
        <v>#DIV/0!</v>
      </c>
      <c r="DS69" s="240">
        <f t="shared" si="549"/>
        <v>116.23391812865495</v>
      </c>
      <c r="DT69" s="240">
        <f t="shared" si="549"/>
        <v>174.93421052631578</v>
      </c>
      <c r="DU69" s="240">
        <f t="shared" si="549"/>
        <v>156.84210526315789</v>
      </c>
      <c r="DV69" s="413" t="e">
        <f t="shared" ref="DV69" si="550">AVERAGE(DO69:DU69)</f>
        <v>#DIV/0!</v>
      </c>
      <c r="DX69" s="239">
        <f>IF(ISNUMBER(DX68),DX66/DX68,)</f>
        <v>617.85714285714278</v>
      </c>
      <c r="DY69" s="239">
        <f t="shared" ref="DY69:ED69" si="551">IF(ISNUMBER(DY68),DY66/DY68,)</f>
        <v>166.26315789473685</v>
      </c>
      <c r="DZ69" s="239">
        <f t="shared" si="551"/>
        <v>83.957930367504844</v>
      </c>
      <c r="EA69" s="239">
        <f t="shared" si="551"/>
        <v>96.308793456032717</v>
      </c>
      <c r="EB69" s="239">
        <f t="shared" si="551"/>
        <v>0</v>
      </c>
      <c r="EC69" s="239">
        <f t="shared" si="551"/>
        <v>0</v>
      </c>
      <c r="ED69" s="239">
        <f t="shared" si="551"/>
        <v>0</v>
      </c>
      <c r="EE69" s="413">
        <f t="shared" ref="EE69" si="552">AVERAGE(DX69:ED69)</f>
        <v>137.76957493934532</v>
      </c>
      <c r="EG69" s="239">
        <f>IF(ISNUMBER(EG68),EG66/EG68,)</f>
        <v>0</v>
      </c>
      <c r="EH69" s="239">
        <f t="shared" ref="EH69:EM69" si="553">IF(ISNUMBER(EH68),EH66/EH68,)</f>
        <v>0</v>
      </c>
      <c r="EI69" s="239">
        <f t="shared" si="553"/>
        <v>0</v>
      </c>
      <c r="EJ69" s="239">
        <f t="shared" si="553"/>
        <v>0</v>
      </c>
      <c r="EK69" s="239">
        <f t="shared" si="553"/>
        <v>0</v>
      </c>
      <c r="EL69" s="239">
        <f t="shared" si="553"/>
        <v>0</v>
      </c>
      <c r="EM69" s="239">
        <f t="shared" si="553"/>
        <v>0</v>
      </c>
      <c r="EN69" s="413">
        <f t="shared" ref="EN69" si="554">AVERAGE(EG69:EM69)</f>
        <v>0</v>
      </c>
      <c r="EP69" s="239">
        <f>IF(ISNUMBER(EP68),EP66/EP68,)</f>
        <v>0</v>
      </c>
      <c r="EQ69" s="239">
        <f t="shared" ref="EQ69:EV69" si="555">IF(ISNUMBER(EQ68),EQ66/EQ68,)</f>
        <v>0</v>
      </c>
      <c r="ER69" s="239">
        <f t="shared" si="555"/>
        <v>0</v>
      </c>
      <c r="ES69" s="239">
        <f t="shared" si="555"/>
        <v>0</v>
      </c>
      <c r="ET69" s="239">
        <f t="shared" si="555"/>
        <v>0</v>
      </c>
      <c r="EU69" s="239">
        <f t="shared" si="555"/>
        <v>0</v>
      </c>
      <c r="EV69" s="239">
        <f t="shared" si="555"/>
        <v>0</v>
      </c>
      <c r="EW69" s="413">
        <f t="shared" ref="EW69" si="556">AVERAGE(EP69:EV69)</f>
        <v>0</v>
      </c>
    </row>
    <row r="70" spans="2:153" ht="15" thickBot="1" x14ac:dyDescent="0.35">
      <c r="EG70"/>
      <c r="EH70"/>
      <c r="EI70"/>
      <c r="EJ70"/>
      <c r="EK70"/>
      <c r="EL70"/>
      <c r="EM70"/>
      <c r="EN70"/>
      <c r="EP70"/>
      <c r="EQ70"/>
      <c r="ER70"/>
      <c r="ES70"/>
      <c r="ET70"/>
      <c r="EU70"/>
      <c r="EV70"/>
      <c r="EW70"/>
    </row>
    <row r="71" spans="2:153" ht="15.6" x14ac:dyDescent="0.3">
      <c r="B71" s="830" t="s">
        <v>93</v>
      </c>
      <c r="C71" s="451" t="s">
        <v>29</v>
      </c>
      <c r="D71" s="581" t="s">
        <v>92</v>
      </c>
      <c r="E71" s="582" t="s">
        <v>316</v>
      </c>
      <c r="F71" s="405">
        <v>293.90999999999997</v>
      </c>
      <c r="G71" s="56" t="s">
        <v>37</v>
      </c>
      <c r="CE71" s="209">
        <v>0</v>
      </c>
      <c r="CF71" s="210">
        <v>0</v>
      </c>
      <c r="CG71" s="210">
        <v>0</v>
      </c>
      <c r="CH71" s="210">
        <v>0</v>
      </c>
      <c r="CI71" s="210">
        <v>0</v>
      </c>
      <c r="CJ71" s="210">
        <v>0</v>
      </c>
      <c r="CK71" s="211">
        <v>0</v>
      </c>
      <c r="CL71" s="410">
        <f t="shared" ref="CL71:CL72" si="557">SUM(CE71:CK71)</f>
        <v>0</v>
      </c>
      <c r="CN71" s="209">
        <v>0</v>
      </c>
      <c r="CO71" s="210">
        <v>0</v>
      </c>
      <c r="CP71" s="210">
        <v>0</v>
      </c>
      <c r="CQ71" s="210">
        <v>0</v>
      </c>
      <c r="CR71" s="210">
        <v>0</v>
      </c>
      <c r="CS71" s="210">
        <v>0</v>
      </c>
      <c r="CT71" s="211">
        <v>0</v>
      </c>
      <c r="CU71" s="410">
        <f t="shared" ref="CU71:CU72" si="558">SUM(CN71:CT71)</f>
        <v>0</v>
      </c>
      <c r="CW71" s="209">
        <v>0</v>
      </c>
      <c r="CX71" s="210">
        <v>0</v>
      </c>
      <c r="CY71" s="210">
        <v>0</v>
      </c>
      <c r="CZ71" s="210">
        <v>0</v>
      </c>
      <c r="DA71" s="210">
        <v>0</v>
      </c>
      <c r="DB71" s="210">
        <v>0</v>
      </c>
      <c r="DC71" s="211">
        <v>0</v>
      </c>
      <c r="DD71" s="410">
        <f t="shared" ref="DD71:DD72" si="559">SUM(CW71:DC71)</f>
        <v>0</v>
      </c>
      <c r="DF71" s="209">
        <v>0</v>
      </c>
      <c r="DG71" s="210">
        <v>0</v>
      </c>
      <c r="DH71" s="210">
        <v>0</v>
      </c>
      <c r="DI71" s="210">
        <v>0</v>
      </c>
      <c r="DJ71" s="210"/>
      <c r="DK71" s="210"/>
      <c r="DL71" s="211"/>
      <c r="DM71" s="410">
        <f t="shared" ref="DM71:DM72" si="560">SUM(DF71:DL71)</f>
        <v>0</v>
      </c>
      <c r="DO71" s="209"/>
      <c r="DP71" s="210"/>
      <c r="DQ71" s="210"/>
      <c r="DR71" s="210"/>
      <c r="DS71" s="210"/>
      <c r="DT71" s="210"/>
      <c r="DU71" s="211"/>
      <c r="DV71" s="410">
        <f t="shared" ref="DV71:DV72" si="561">SUM(DO71:DU71)</f>
        <v>0</v>
      </c>
      <c r="DX71" s="209"/>
      <c r="DY71" s="210"/>
      <c r="DZ71" s="210"/>
      <c r="EA71" s="210"/>
      <c r="EB71" s="210"/>
      <c r="EC71" s="210"/>
      <c r="ED71" s="211"/>
      <c r="EE71" s="410">
        <f t="shared" ref="EE71:EE72" si="562">SUM(DX71:ED71)</f>
        <v>0</v>
      </c>
      <c r="EG71" s="209"/>
      <c r="EH71" s="210"/>
      <c r="EI71" s="210"/>
      <c r="EJ71" s="210"/>
      <c r="EK71" s="210"/>
      <c r="EL71" s="210"/>
      <c r="EM71" s="211"/>
      <c r="EN71" s="410">
        <f t="shared" ref="EN71:EN72" si="563">SUM(EG71:EM71)</f>
        <v>0</v>
      </c>
      <c r="EP71" s="209"/>
      <c r="EQ71" s="210"/>
      <c r="ER71" s="210"/>
      <c r="ES71" s="210"/>
      <c r="ET71" s="210"/>
      <c r="EU71" s="210"/>
      <c r="EV71" s="211"/>
      <c r="EW71" s="410">
        <f t="shared" ref="EW71:EW72" si="564">SUM(EP71:EV71)</f>
        <v>0</v>
      </c>
    </row>
    <row r="72" spans="2:153" ht="15.6" x14ac:dyDescent="0.3">
      <c r="B72" s="831"/>
      <c r="C72" s="145" t="s">
        <v>96</v>
      </c>
      <c r="D72" s="579" t="s">
        <v>192</v>
      </c>
      <c r="E72" s="580" t="s">
        <v>315</v>
      </c>
      <c r="F72" s="406"/>
      <c r="G72" s="64" t="s">
        <v>37</v>
      </c>
      <c r="CE72" s="212">
        <v>0.02</v>
      </c>
      <c r="CF72" s="173">
        <v>0.21</v>
      </c>
      <c r="CG72" s="173">
        <v>0.09</v>
      </c>
      <c r="CH72" s="173">
        <v>0.05</v>
      </c>
      <c r="CI72" s="173">
        <v>3</v>
      </c>
      <c r="CJ72" s="173">
        <v>1.58</v>
      </c>
      <c r="CK72" s="213">
        <v>0</v>
      </c>
      <c r="CL72" s="411">
        <f t="shared" si="557"/>
        <v>4.95</v>
      </c>
      <c r="CN72" s="212">
        <v>2.82</v>
      </c>
      <c r="CO72" s="173">
        <v>0.55000000000000004</v>
      </c>
      <c r="CP72" s="173">
        <v>0.09</v>
      </c>
      <c r="CQ72" s="173">
        <v>0.09</v>
      </c>
      <c r="CR72" s="173">
        <v>0.21</v>
      </c>
      <c r="CS72" s="173">
        <v>0.12</v>
      </c>
      <c r="CT72" s="213">
        <v>0.73</v>
      </c>
      <c r="CU72" s="411">
        <f t="shared" si="558"/>
        <v>4.6099999999999994</v>
      </c>
      <c r="CW72" s="212">
        <v>0.02</v>
      </c>
      <c r="CX72" s="173">
        <v>0.2</v>
      </c>
      <c r="CY72" s="173">
        <v>0.17</v>
      </c>
      <c r="CZ72" s="173">
        <v>0</v>
      </c>
      <c r="DA72" s="173">
        <v>0.36</v>
      </c>
      <c r="DB72" s="173">
        <v>2.4900000000000002</v>
      </c>
      <c r="DC72" s="213">
        <v>0.28999999999999998</v>
      </c>
      <c r="DD72" s="411">
        <f t="shared" si="559"/>
        <v>3.5300000000000002</v>
      </c>
      <c r="DF72" s="212">
        <v>0.15</v>
      </c>
      <c r="DG72" s="173">
        <v>10.31</v>
      </c>
      <c r="DH72" s="173">
        <v>0.39</v>
      </c>
      <c r="DI72" s="173">
        <v>0.04</v>
      </c>
      <c r="DJ72" s="173"/>
      <c r="DK72" s="173"/>
      <c r="DL72" s="213"/>
      <c r="DM72" s="411">
        <f t="shared" si="560"/>
        <v>10.89</v>
      </c>
      <c r="DO72" s="212"/>
      <c r="DP72" s="173"/>
      <c r="DQ72" s="173"/>
      <c r="DR72" s="173"/>
      <c r="DS72" s="173">
        <v>0.04</v>
      </c>
      <c r="DT72" s="173">
        <v>0.01</v>
      </c>
      <c r="DU72" s="213">
        <v>0.01</v>
      </c>
      <c r="DV72" s="411">
        <f t="shared" si="561"/>
        <v>6.0000000000000005E-2</v>
      </c>
      <c r="DX72" s="212">
        <v>0</v>
      </c>
      <c r="DY72" s="173">
        <v>7.0000000000000007E-2</v>
      </c>
      <c r="DZ72" s="173">
        <v>0</v>
      </c>
      <c r="EA72" s="173">
        <v>0</v>
      </c>
      <c r="EB72" s="173"/>
      <c r="EC72" s="173"/>
      <c r="ED72" s="213"/>
      <c r="EE72" s="411">
        <f t="shared" si="562"/>
        <v>7.0000000000000007E-2</v>
      </c>
      <c r="EG72" s="212"/>
      <c r="EH72" s="173"/>
      <c r="EI72" s="173"/>
      <c r="EJ72" s="173"/>
      <c r="EK72" s="173"/>
      <c r="EL72" s="173"/>
      <c r="EM72" s="213"/>
      <c r="EN72" s="411">
        <f t="shared" si="563"/>
        <v>0</v>
      </c>
      <c r="EP72" s="212"/>
      <c r="EQ72" s="173"/>
      <c r="ER72" s="173"/>
      <c r="ES72" s="173"/>
      <c r="ET72" s="173"/>
      <c r="EU72" s="173"/>
      <c r="EV72" s="213"/>
      <c r="EW72" s="411">
        <f t="shared" si="564"/>
        <v>0</v>
      </c>
    </row>
    <row r="73" spans="2:153" ht="16.2" thickBot="1" x14ac:dyDescent="0.35">
      <c r="B73" s="832"/>
      <c r="C73" s="151" t="s">
        <v>191</v>
      </c>
      <c r="D73" s="152" t="s">
        <v>26</v>
      </c>
      <c r="E73" s="583" t="s">
        <v>314</v>
      </c>
      <c r="F73" s="407"/>
      <c r="G73" s="578" t="s">
        <v>37</v>
      </c>
      <c r="CE73" s="409">
        <v>746.72</v>
      </c>
      <c r="CF73" s="242">
        <v>13274.73</v>
      </c>
      <c r="CG73" s="242">
        <v>7376.33</v>
      </c>
      <c r="CH73" s="242">
        <v>7505.84</v>
      </c>
      <c r="CI73" s="242">
        <v>7770</v>
      </c>
      <c r="CJ73" s="242">
        <v>5342</v>
      </c>
      <c r="CK73" s="243">
        <v>4099</v>
      </c>
      <c r="CL73" s="413">
        <f t="shared" ref="CL73" si="565">AVERAGE(CE73:CK73)</f>
        <v>6587.8028571428567</v>
      </c>
      <c r="CN73" s="409">
        <v>3494</v>
      </c>
      <c r="CO73" s="242">
        <v>9739.8799999999992</v>
      </c>
      <c r="CP73" s="242">
        <v>8514.5499999999993</v>
      </c>
      <c r="CQ73" s="242">
        <v>11893.53</v>
      </c>
      <c r="CR73" s="242">
        <v>7407.14</v>
      </c>
      <c r="CS73" s="242">
        <v>3759.98</v>
      </c>
      <c r="CT73" s="243">
        <v>1748.11</v>
      </c>
      <c r="CU73" s="413">
        <f t="shared" ref="CU73" si="566">AVERAGE(CN73:CT73)</f>
        <v>6651.0271428571432</v>
      </c>
      <c r="CW73" s="409">
        <v>1030.1600000000001</v>
      </c>
      <c r="CX73" s="242">
        <v>22083.05</v>
      </c>
      <c r="CY73" s="242">
        <v>14047.92</v>
      </c>
      <c r="CZ73" s="242">
        <v>12482.86</v>
      </c>
      <c r="DA73" s="242">
        <v>12134.38</v>
      </c>
      <c r="DB73" s="242">
        <v>8183.66</v>
      </c>
      <c r="DC73" s="243">
        <v>3970.8</v>
      </c>
      <c r="DD73" s="413">
        <f t="shared" ref="DD73" si="567">AVERAGE(CW73:DC73)</f>
        <v>10561.832857142857</v>
      </c>
      <c r="DF73" s="409">
        <v>9470.2999999999993</v>
      </c>
      <c r="DG73" s="242">
        <v>8529.4500000000007</v>
      </c>
      <c r="DH73" s="242">
        <v>9106.25</v>
      </c>
      <c r="DI73" s="242">
        <v>6900.92</v>
      </c>
      <c r="DJ73" s="242"/>
      <c r="DK73" s="242"/>
      <c r="DL73" s="243"/>
      <c r="DM73" s="413">
        <f t="shared" ref="DM73" si="568">AVERAGE(DF73:DL73)</f>
        <v>8501.73</v>
      </c>
      <c r="DO73" s="409"/>
      <c r="DP73" s="242"/>
      <c r="DQ73" s="242"/>
      <c r="DR73" s="242"/>
      <c r="DS73" s="242">
        <v>4586.8100000000004</v>
      </c>
      <c r="DT73" s="242">
        <v>4578.38</v>
      </c>
      <c r="DU73" s="243">
        <v>4771.78</v>
      </c>
      <c r="DV73" s="413">
        <f t="shared" ref="DV73" si="569">AVERAGE(DO73:DU73)</f>
        <v>4645.6566666666668</v>
      </c>
      <c r="DX73" s="409">
        <v>5436.91</v>
      </c>
      <c r="DY73" s="242">
        <v>5921.81</v>
      </c>
      <c r="DZ73" s="242">
        <v>3601.13</v>
      </c>
      <c r="EA73" s="242">
        <v>6767.69</v>
      </c>
      <c r="EB73" s="242"/>
      <c r="EC73" s="242"/>
      <c r="ED73" s="243"/>
      <c r="EE73" s="413">
        <f t="shared" ref="EE73" si="570">AVERAGE(DX73:ED73)</f>
        <v>5431.8850000000002</v>
      </c>
      <c r="EG73" s="409"/>
      <c r="EH73" s="242"/>
      <c r="EI73" s="242"/>
      <c r="EJ73" s="242"/>
      <c r="EK73" s="242"/>
      <c r="EL73" s="242"/>
      <c r="EM73" s="243"/>
      <c r="EN73" s="413">
        <f>IF(ISNUMBER(AVERAGE(EG73:EM73)),AVERAGE(EG73:EM73),0)</f>
        <v>0</v>
      </c>
      <c r="EP73" s="409"/>
      <c r="EQ73" s="242"/>
      <c r="ER73" s="242"/>
      <c r="ES73" s="242"/>
      <c r="ET73" s="242"/>
      <c r="EU73" s="242"/>
      <c r="EV73" s="243"/>
      <c r="EW73" s="413">
        <f>IF(ISNUMBER(AVERAGE(EP73:EV73)),AVERAGE(EP73:EV73),0)</f>
        <v>0</v>
      </c>
    </row>
    <row r="74" spans="2:153" ht="15" thickBot="1" x14ac:dyDescent="0.35">
      <c r="EG74"/>
      <c r="EH74"/>
      <c r="EI74"/>
      <c r="EJ74"/>
      <c r="EK74"/>
      <c r="EL74"/>
      <c r="EM74"/>
      <c r="EN74"/>
      <c r="EP74"/>
      <c r="EQ74"/>
      <c r="ER74"/>
      <c r="ES74"/>
      <c r="ET74"/>
      <c r="EU74"/>
      <c r="EV74"/>
      <c r="EW74"/>
    </row>
    <row r="75" spans="2:153" ht="15.75" customHeight="1" x14ac:dyDescent="0.3">
      <c r="B75" s="833" t="s">
        <v>131</v>
      </c>
      <c r="C75" s="451" t="s">
        <v>100</v>
      </c>
      <c r="D75" s="452" t="s">
        <v>26</v>
      </c>
      <c r="E75" s="523" t="s">
        <v>318</v>
      </c>
      <c r="F75" s="453"/>
      <c r="G75" s="408" t="s">
        <v>37</v>
      </c>
      <c r="CE75" s="209">
        <v>0</v>
      </c>
      <c r="CF75" s="210">
        <v>5078.24</v>
      </c>
      <c r="CG75" s="210">
        <v>2582.35</v>
      </c>
      <c r="CH75" s="210">
        <v>2475.06</v>
      </c>
      <c r="CI75" s="210">
        <v>2153</v>
      </c>
      <c r="CJ75" s="210">
        <v>1140</v>
      </c>
      <c r="CK75" s="211">
        <v>1070</v>
      </c>
      <c r="CL75" s="591">
        <f>SUM(CE75:CK75)</f>
        <v>14498.65</v>
      </c>
      <c r="CN75" s="209">
        <v>436</v>
      </c>
      <c r="CO75" s="210">
        <v>2864.53</v>
      </c>
      <c r="CP75" s="210">
        <v>2051.33</v>
      </c>
      <c r="CQ75" s="210">
        <v>2298.94</v>
      </c>
      <c r="CR75" s="210">
        <v>1775.81</v>
      </c>
      <c r="CS75" s="210">
        <v>998.05</v>
      </c>
      <c r="CT75" s="211">
        <v>646.14</v>
      </c>
      <c r="CU75" s="591">
        <f>SUM(CN75:CT75)</f>
        <v>11070.8</v>
      </c>
      <c r="CW75" s="209">
        <v>0</v>
      </c>
      <c r="CX75" s="210">
        <v>2864.53</v>
      </c>
      <c r="CY75" s="210">
        <v>2559.6999999999998</v>
      </c>
      <c r="CZ75" s="210">
        <v>1994.82</v>
      </c>
      <c r="DA75" s="210">
        <v>1357.46</v>
      </c>
      <c r="DB75" s="210">
        <v>666.8</v>
      </c>
      <c r="DC75" s="258">
        <v>593.97</v>
      </c>
      <c r="DD75" s="591">
        <f>SUM(CW75:DC75)</f>
        <v>10037.279999999997</v>
      </c>
      <c r="DF75" s="209">
        <v>2621.38</v>
      </c>
      <c r="DG75" s="210">
        <v>2135.31</v>
      </c>
      <c r="DH75" s="210">
        <v>2343.04</v>
      </c>
      <c r="DI75" s="210">
        <v>2099.94</v>
      </c>
      <c r="DJ75" s="210"/>
      <c r="DK75" s="210"/>
      <c r="DL75" s="258"/>
      <c r="DM75" s="591">
        <f>SUM(DF75:DL75)</f>
        <v>9199.67</v>
      </c>
      <c r="DO75" s="209"/>
      <c r="DP75" s="210"/>
      <c r="DQ75" s="210"/>
      <c r="DR75" s="210"/>
      <c r="DS75" s="210">
        <v>117.86</v>
      </c>
      <c r="DT75" s="210">
        <v>18.78</v>
      </c>
      <c r="DU75" s="258">
        <v>246.37</v>
      </c>
      <c r="DV75" s="591">
        <f>SUM(DO75:DU75)</f>
        <v>383.01</v>
      </c>
      <c r="DX75" s="209">
        <v>1732.3</v>
      </c>
      <c r="DY75" s="210">
        <v>311.38</v>
      </c>
      <c r="DZ75" s="210">
        <v>419.1</v>
      </c>
      <c r="EA75" s="210">
        <v>329.3</v>
      </c>
      <c r="EB75" s="210"/>
      <c r="EC75" s="210"/>
      <c r="ED75" s="258"/>
      <c r="EE75" s="591">
        <f>SUM(DX75:ED75)</f>
        <v>2792.08</v>
      </c>
      <c r="EG75" s="209"/>
      <c r="EH75" s="210"/>
      <c r="EI75" s="210"/>
      <c r="EJ75" s="210"/>
      <c r="EK75" s="210"/>
      <c r="EL75" s="210"/>
      <c r="EM75" s="258"/>
      <c r="EN75" s="591">
        <f>SUM(EG75:EM75)</f>
        <v>0</v>
      </c>
      <c r="EP75" s="209"/>
      <c r="EQ75" s="210"/>
      <c r="ER75" s="210"/>
      <c r="ES75" s="210"/>
      <c r="ET75" s="210"/>
      <c r="EU75" s="210"/>
      <c r="EV75" s="258"/>
      <c r="EW75" s="591">
        <f>SUM(EP75:EV75)</f>
        <v>0</v>
      </c>
    </row>
    <row r="76" spans="2:153" ht="15.6" x14ac:dyDescent="0.3">
      <c r="B76" s="834"/>
      <c r="C76" s="145" t="s">
        <v>102</v>
      </c>
      <c r="D76" s="147" t="s">
        <v>26</v>
      </c>
      <c r="E76" s="522" t="s">
        <v>319</v>
      </c>
      <c r="F76" s="89"/>
      <c r="G76" s="87" t="s">
        <v>37</v>
      </c>
      <c r="CE76" s="212">
        <v>0</v>
      </c>
      <c r="CF76" s="173">
        <v>13213.44</v>
      </c>
      <c r="CG76" s="173">
        <v>7249.79</v>
      </c>
      <c r="CH76" s="173">
        <v>4158.8500000000004</v>
      </c>
      <c r="CI76" s="173">
        <v>1468</v>
      </c>
      <c r="CJ76" s="173">
        <v>1003</v>
      </c>
      <c r="CK76" s="213">
        <v>845</v>
      </c>
      <c r="CL76" s="592">
        <f t="shared" ref="CL76:CL80" si="571">SUM(CE76:CK76)</f>
        <v>27938.080000000002</v>
      </c>
      <c r="CN76" s="212">
        <v>142</v>
      </c>
      <c r="CO76" s="173">
        <v>6106.11</v>
      </c>
      <c r="CP76" s="173">
        <v>4152.83</v>
      </c>
      <c r="CQ76" s="173">
        <v>5315.97</v>
      </c>
      <c r="CR76" s="173">
        <v>4632.45</v>
      </c>
      <c r="CS76" s="173">
        <v>3076.74</v>
      </c>
      <c r="CT76" s="213">
        <v>973.7</v>
      </c>
      <c r="CU76" s="592">
        <f t="shared" ref="CU76:CU80" si="572">SUM(CN76:CT76)</f>
        <v>24399.8</v>
      </c>
      <c r="CW76" s="212">
        <v>0</v>
      </c>
      <c r="CX76" s="173">
        <v>6106.11</v>
      </c>
      <c r="CY76" s="173">
        <v>10001.41</v>
      </c>
      <c r="CZ76" s="173">
        <v>8972.93</v>
      </c>
      <c r="DA76" s="173">
        <v>4425.8599999999997</v>
      </c>
      <c r="DB76" s="173">
        <v>2249.2199999999998</v>
      </c>
      <c r="DC76" s="174">
        <v>789.63</v>
      </c>
      <c r="DD76" s="592">
        <f t="shared" ref="DD76:DD80" si="573">SUM(CW76:DC76)</f>
        <v>32545.160000000003</v>
      </c>
      <c r="DF76" s="212">
        <v>5955.2</v>
      </c>
      <c r="DG76" s="173">
        <v>9979.01</v>
      </c>
      <c r="DH76" s="173">
        <v>10049.280000000001</v>
      </c>
      <c r="DI76" s="173">
        <v>4471.8100000000004</v>
      </c>
      <c r="DJ76" s="173"/>
      <c r="DK76" s="173"/>
      <c r="DL76" s="174"/>
      <c r="DM76" s="592">
        <f t="shared" ref="DM76:DM80" si="574">SUM(DF76:DL76)</f>
        <v>30455.3</v>
      </c>
      <c r="DO76" s="212"/>
      <c r="DP76" s="173"/>
      <c r="DQ76" s="173"/>
      <c r="DR76" s="173"/>
      <c r="DS76" s="173">
        <v>3426.3</v>
      </c>
      <c r="DT76" s="173">
        <v>3622.78</v>
      </c>
      <c r="DU76" s="174">
        <v>3345.02</v>
      </c>
      <c r="DV76" s="592">
        <f t="shared" ref="DV76:DV80" si="575">SUM(DO76:DU76)</f>
        <v>10394.1</v>
      </c>
      <c r="DX76" s="212">
        <v>935.68</v>
      </c>
      <c r="DY76" s="173">
        <v>1832.05</v>
      </c>
      <c r="DZ76" s="173">
        <v>208.13</v>
      </c>
      <c r="EA76" s="173">
        <v>4681.6000000000004</v>
      </c>
      <c r="EB76" s="173"/>
      <c r="EC76" s="173"/>
      <c r="ED76" s="174"/>
      <c r="EE76" s="592">
        <f t="shared" ref="EE76:EE80" si="576">SUM(DX76:ED76)</f>
        <v>7657.4600000000009</v>
      </c>
      <c r="EG76" s="212"/>
      <c r="EH76" s="173"/>
      <c r="EI76" s="173"/>
      <c r="EJ76" s="173"/>
      <c r="EK76" s="173"/>
      <c r="EL76" s="173"/>
      <c r="EM76" s="174"/>
      <c r="EN76" s="592">
        <f t="shared" ref="EN76:EN80" si="577">SUM(EG76:EM76)</f>
        <v>0</v>
      </c>
      <c r="EP76" s="212"/>
      <c r="EQ76" s="173"/>
      <c r="ER76" s="173"/>
      <c r="ES76" s="173"/>
      <c r="ET76" s="173"/>
      <c r="EU76" s="173"/>
      <c r="EV76" s="174"/>
      <c r="EW76" s="592">
        <f t="shared" ref="EW76:EW80" si="578">SUM(EP76:EV76)</f>
        <v>0</v>
      </c>
    </row>
    <row r="77" spans="2:153" ht="15.6" x14ac:dyDescent="0.3">
      <c r="B77" s="834"/>
      <c r="C77" s="145" t="s">
        <v>190</v>
      </c>
      <c r="D77" s="147" t="s">
        <v>26</v>
      </c>
      <c r="E77" s="522" t="s">
        <v>317</v>
      </c>
      <c r="F77" s="89"/>
      <c r="G77" s="87"/>
      <c r="CE77" s="212">
        <v>1746.91</v>
      </c>
      <c r="CF77" s="173">
        <v>1545.5</v>
      </c>
      <c r="CG77" s="173">
        <v>2016.53</v>
      </c>
      <c r="CH77" s="173">
        <v>1598.72</v>
      </c>
      <c r="CI77" s="173">
        <v>505</v>
      </c>
      <c r="CJ77" s="173">
        <v>3.56</v>
      </c>
      <c r="CK77" s="213">
        <v>3.63</v>
      </c>
      <c r="CL77" s="592">
        <f t="shared" si="571"/>
        <v>7419.85</v>
      </c>
      <c r="CN77" s="212">
        <v>92.59</v>
      </c>
      <c r="CO77" s="173">
        <v>1862.47</v>
      </c>
      <c r="CP77" s="173">
        <v>1418.25</v>
      </c>
      <c r="CQ77" s="173">
        <v>1932.19</v>
      </c>
      <c r="CR77" s="173">
        <v>1175.6600000000001</v>
      </c>
      <c r="CS77" s="173">
        <v>448.47</v>
      </c>
      <c r="CT77" s="213">
        <v>93</v>
      </c>
      <c r="CU77" s="592">
        <f t="shared" si="572"/>
        <v>7022.63</v>
      </c>
      <c r="CW77" s="212">
        <v>2061.91</v>
      </c>
      <c r="CX77" s="173">
        <v>1862.47</v>
      </c>
      <c r="CY77" s="173">
        <v>2422.19</v>
      </c>
      <c r="CZ77" s="173">
        <v>1918.28</v>
      </c>
      <c r="DA77" s="173">
        <v>888.63</v>
      </c>
      <c r="DB77" s="173">
        <v>305.81</v>
      </c>
      <c r="DC77" s="174">
        <v>78.25</v>
      </c>
      <c r="DD77" s="592">
        <f t="shared" si="573"/>
        <v>9537.5399999999991</v>
      </c>
      <c r="DF77" s="212">
        <v>1837.88</v>
      </c>
      <c r="DG77" s="173">
        <v>1453.75</v>
      </c>
      <c r="DH77" s="173">
        <v>1644.66</v>
      </c>
      <c r="DI77" s="173">
        <v>1220.22</v>
      </c>
      <c r="DJ77" s="173"/>
      <c r="DK77" s="173"/>
      <c r="DL77" s="174"/>
      <c r="DM77" s="592">
        <f t="shared" si="574"/>
        <v>6156.51</v>
      </c>
      <c r="DO77" s="212"/>
      <c r="DP77" s="173"/>
      <c r="DQ77" s="173"/>
      <c r="DR77" s="173"/>
      <c r="DS77" s="173">
        <v>148.19</v>
      </c>
      <c r="DT77" s="173">
        <v>2.4700000000000002</v>
      </c>
      <c r="DU77" s="174">
        <v>2.5</v>
      </c>
      <c r="DV77" s="592">
        <f t="shared" si="575"/>
        <v>153.16</v>
      </c>
      <c r="DX77" s="212">
        <v>2.5299999999999998</v>
      </c>
      <c r="DY77" s="173">
        <v>577.28</v>
      </c>
      <c r="DZ77" s="173">
        <v>1558.34</v>
      </c>
      <c r="EA77" s="173">
        <v>1901.28</v>
      </c>
      <c r="EB77" s="173"/>
      <c r="EC77" s="173"/>
      <c r="ED77" s="174"/>
      <c r="EE77" s="592">
        <f t="shared" si="576"/>
        <v>4039.4299999999994</v>
      </c>
      <c r="EG77" s="212"/>
      <c r="EH77" s="173"/>
      <c r="EI77" s="173"/>
      <c r="EJ77" s="173"/>
      <c r="EK77" s="173"/>
      <c r="EL77" s="173"/>
      <c r="EM77" s="174"/>
      <c r="EN77" s="592">
        <f t="shared" si="577"/>
        <v>0</v>
      </c>
      <c r="EP77" s="212"/>
      <c r="EQ77" s="173"/>
      <c r="ER77" s="173"/>
      <c r="ES77" s="173"/>
      <c r="ET77" s="173"/>
      <c r="EU77" s="173"/>
      <c r="EV77" s="174"/>
      <c r="EW77" s="592">
        <f t="shared" si="578"/>
        <v>0</v>
      </c>
    </row>
    <row r="78" spans="2:153" ht="15.6" x14ac:dyDescent="0.3">
      <c r="B78" s="834"/>
      <c r="C78" s="145" t="s">
        <v>104</v>
      </c>
      <c r="D78" s="147" t="s">
        <v>26</v>
      </c>
      <c r="E78" s="522" t="s">
        <v>320</v>
      </c>
      <c r="F78" s="89"/>
      <c r="G78" s="87" t="s">
        <v>37</v>
      </c>
      <c r="CE78" s="212">
        <v>0</v>
      </c>
      <c r="CF78" s="173">
        <v>2058.11</v>
      </c>
      <c r="CG78" s="173">
        <v>2100.92</v>
      </c>
      <c r="CH78" s="173">
        <v>2068.59</v>
      </c>
      <c r="CI78" s="173">
        <v>1673</v>
      </c>
      <c r="CJ78" s="173">
        <v>1314</v>
      </c>
      <c r="CK78" s="213">
        <v>829</v>
      </c>
      <c r="CL78" s="592">
        <f t="shared" si="571"/>
        <v>10043.620000000001</v>
      </c>
      <c r="CN78" s="212">
        <v>448</v>
      </c>
      <c r="CO78" s="173">
        <v>2136.23</v>
      </c>
      <c r="CP78" s="173">
        <v>1498.6</v>
      </c>
      <c r="CQ78" s="173">
        <v>2062.84</v>
      </c>
      <c r="CR78" s="173">
        <v>1643.08</v>
      </c>
      <c r="CS78" s="173">
        <v>1022.57</v>
      </c>
      <c r="CT78" s="213">
        <v>594.44000000000005</v>
      </c>
      <c r="CU78" s="592">
        <f t="shared" si="572"/>
        <v>9405.76</v>
      </c>
      <c r="CW78" s="212">
        <v>0</v>
      </c>
      <c r="CX78" s="173">
        <v>2136.23</v>
      </c>
      <c r="CY78" s="173">
        <v>2495.17</v>
      </c>
      <c r="CZ78" s="173">
        <v>2413.9899999999998</v>
      </c>
      <c r="DA78" s="173">
        <v>1986</v>
      </c>
      <c r="DB78" s="173">
        <v>1097.99</v>
      </c>
      <c r="DC78" s="174">
        <v>481</v>
      </c>
      <c r="DD78" s="592">
        <f t="shared" si="573"/>
        <v>10610.38</v>
      </c>
      <c r="DF78" s="212">
        <v>2080.86</v>
      </c>
      <c r="DG78" s="173">
        <v>2075.04</v>
      </c>
      <c r="DH78" s="173">
        <v>2093.9699999999998</v>
      </c>
      <c r="DI78" s="173">
        <v>1711.12</v>
      </c>
      <c r="DJ78" s="173"/>
      <c r="DK78" s="173"/>
      <c r="DL78" s="174"/>
      <c r="DM78" s="592">
        <f t="shared" si="574"/>
        <v>7960.9899999999989</v>
      </c>
      <c r="DO78" s="212"/>
      <c r="DP78" s="173"/>
      <c r="DQ78" s="173"/>
      <c r="DR78" s="173"/>
      <c r="DS78" s="173">
        <v>360.54</v>
      </c>
      <c r="DT78" s="173">
        <v>383.84</v>
      </c>
      <c r="DU78" s="174">
        <v>626.33000000000004</v>
      </c>
      <c r="DV78" s="592">
        <f t="shared" si="575"/>
        <v>1370.71</v>
      </c>
      <c r="DX78" s="212">
        <v>1884.16</v>
      </c>
      <c r="DY78" s="173">
        <v>2081.88</v>
      </c>
      <c r="DZ78" s="173">
        <v>237.52</v>
      </c>
      <c r="EA78" s="173">
        <v>370.2</v>
      </c>
      <c r="EB78" s="173"/>
      <c r="EC78" s="173"/>
      <c r="ED78" s="174"/>
      <c r="EE78" s="592">
        <f t="shared" si="576"/>
        <v>4573.76</v>
      </c>
      <c r="EG78" s="212"/>
      <c r="EH78" s="173"/>
      <c r="EI78" s="173"/>
      <c r="EJ78" s="173"/>
      <c r="EK78" s="173"/>
      <c r="EL78" s="173"/>
      <c r="EM78" s="174"/>
      <c r="EN78" s="592">
        <f t="shared" si="577"/>
        <v>0</v>
      </c>
      <c r="EP78" s="212"/>
      <c r="EQ78" s="173"/>
      <c r="ER78" s="173"/>
      <c r="ES78" s="173"/>
      <c r="ET78" s="173"/>
      <c r="EU78" s="173"/>
      <c r="EV78" s="174"/>
      <c r="EW78" s="592">
        <f t="shared" si="578"/>
        <v>0</v>
      </c>
    </row>
    <row r="79" spans="2:153" ht="15.6" x14ac:dyDescent="0.3">
      <c r="B79" s="834"/>
      <c r="C79" s="145" t="s">
        <v>106</v>
      </c>
      <c r="D79" s="147" t="s">
        <v>26</v>
      </c>
      <c r="E79" s="522" t="s">
        <v>321</v>
      </c>
      <c r="F79" s="89"/>
      <c r="G79" s="87" t="s">
        <v>37</v>
      </c>
      <c r="CE79" s="212">
        <v>0</v>
      </c>
      <c r="CF79" s="173">
        <v>1654.14</v>
      </c>
      <c r="CG79" s="173">
        <v>1805.12</v>
      </c>
      <c r="CH79" s="173">
        <v>1496.16</v>
      </c>
      <c r="CI79" s="173">
        <v>1392</v>
      </c>
      <c r="CJ79" s="173">
        <v>803</v>
      </c>
      <c r="CK79" s="213">
        <v>142</v>
      </c>
      <c r="CL79" s="592">
        <f t="shared" si="571"/>
        <v>7292.42</v>
      </c>
      <c r="CN79" s="212">
        <v>385</v>
      </c>
      <c r="CO79" s="173">
        <v>1484.13</v>
      </c>
      <c r="CP79" s="173">
        <v>1331.26</v>
      </c>
      <c r="CQ79" s="173">
        <v>1579.9</v>
      </c>
      <c r="CR79" s="173">
        <v>1074.5</v>
      </c>
      <c r="CS79" s="173">
        <v>493.12</v>
      </c>
      <c r="CT79" s="213">
        <v>43.14</v>
      </c>
      <c r="CU79" s="592">
        <f t="shared" si="572"/>
        <v>6391.0500000000011</v>
      </c>
      <c r="CW79" s="212">
        <v>0</v>
      </c>
      <c r="CX79" s="173">
        <v>1484.13</v>
      </c>
      <c r="CY79" s="173">
        <v>1461.95</v>
      </c>
      <c r="CZ79" s="173">
        <v>1116.8599999999999</v>
      </c>
      <c r="DA79" s="173">
        <v>954.02</v>
      </c>
      <c r="DB79" s="173">
        <v>772.16</v>
      </c>
      <c r="DC79" s="174">
        <v>431.33</v>
      </c>
      <c r="DD79" s="592">
        <f t="shared" si="573"/>
        <v>6220.4499999999989</v>
      </c>
      <c r="DF79" s="212">
        <v>1861.98</v>
      </c>
      <c r="DG79" s="173">
        <v>1196.1300000000001</v>
      </c>
      <c r="DH79" s="173">
        <v>1129.5999999999999</v>
      </c>
      <c r="DI79" s="173">
        <v>1173.6300000000001</v>
      </c>
      <c r="DJ79" s="173"/>
      <c r="DK79" s="173"/>
      <c r="DL79" s="174"/>
      <c r="DM79" s="592">
        <f t="shared" si="574"/>
        <v>5361.34</v>
      </c>
      <c r="DO79" s="212"/>
      <c r="DP79" s="173"/>
      <c r="DQ79" s="173"/>
      <c r="DR79" s="173"/>
      <c r="DS79" s="173">
        <v>1458.69</v>
      </c>
      <c r="DT79" s="173">
        <v>1444.32</v>
      </c>
      <c r="DU79" s="174">
        <v>1349.6</v>
      </c>
      <c r="DV79" s="592">
        <f t="shared" si="575"/>
        <v>4252.6100000000006</v>
      </c>
      <c r="DX79" s="212">
        <v>42.05</v>
      </c>
      <c r="DY79" s="173">
        <v>3.81</v>
      </c>
      <c r="DZ79" s="173">
        <v>188.45</v>
      </c>
      <c r="EA79" s="173">
        <v>1225.1500000000001</v>
      </c>
      <c r="EB79" s="173"/>
      <c r="EC79" s="173"/>
      <c r="ED79" s="174"/>
      <c r="EE79" s="592">
        <f t="shared" si="576"/>
        <v>1459.46</v>
      </c>
      <c r="EG79" s="212"/>
      <c r="EH79" s="173"/>
      <c r="EI79" s="173"/>
      <c r="EJ79" s="173"/>
      <c r="EK79" s="173"/>
      <c r="EL79" s="173"/>
      <c r="EM79" s="174"/>
      <c r="EN79" s="592">
        <f t="shared" si="577"/>
        <v>0</v>
      </c>
      <c r="EP79" s="212"/>
      <c r="EQ79" s="173"/>
      <c r="ER79" s="173"/>
      <c r="ES79" s="173"/>
      <c r="ET79" s="173"/>
      <c r="EU79" s="173"/>
      <c r="EV79" s="174"/>
      <c r="EW79" s="592">
        <f t="shared" si="578"/>
        <v>0</v>
      </c>
    </row>
    <row r="80" spans="2:153" ht="16.2" thickBot="1" x14ac:dyDescent="0.35">
      <c r="B80" s="835"/>
      <c r="C80" s="524" t="s">
        <v>355</v>
      </c>
      <c r="D80" s="525" t="s">
        <v>26</v>
      </c>
      <c r="E80" s="587" t="s">
        <v>322</v>
      </c>
      <c r="F80" s="92"/>
      <c r="G80" s="108" t="s">
        <v>37</v>
      </c>
      <c r="CE80" s="409">
        <v>4510.28</v>
      </c>
      <c r="CF80" s="242">
        <v>9615.2900000000009</v>
      </c>
      <c r="CG80" s="242">
        <f>5630.19+6901.77</f>
        <v>12531.96</v>
      </c>
      <c r="CH80" s="242">
        <f>5757.32+4610.25</f>
        <v>10367.57</v>
      </c>
      <c r="CI80" s="242">
        <v>3467</v>
      </c>
      <c r="CJ80" s="242">
        <v>1436</v>
      </c>
      <c r="CK80" s="243">
        <v>508</v>
      </c>
      <c r="CL80" s="593">
        <f t="shared" si="571"/>
        <v>42436.1</v>
      </c>
      <c r="CN80" s="409">
        <v>458</v>
      </c>
      <c r="CO80" s="242">
        <f>5329.99+5902.74</f>
        <v>11232.73</v>
      </c>
      <c r="CP80" s="242">
        <f>4329.89+3759.19</f>
        <v>8089.08</v>
      </c>
      <c r="CQ80" s="242">
        <f>5308.27+4799.02</f>
        <v>10107.290000000001</v>
      </c>
      <c r="CR80" s="242">
        <f>4210.31+4815.34</f>
        <v>9025.6500000000015</v>
      </c>
      <c r="CS80" s="242">
        <f>2641.23+1735.3</f>
        <v>4376.53</v>
      </c>
      <c r="CT80" s="243">
        <f>1170.95+450.38</f>
        <v>1621.33</v>
      </c>
      <c r="CU80" s="593">
        <f t="shared" si="572"/>
        <v>44910.61</v>
      </c>
      <c r="CW80" s="409">
        <f>3912.27+2205.9</f>
        <v>6118.17</v>
      </c>
      <c r="CX80" s="242">
        <v>11232.73</v>
      </c>
      <c r="CY80" s="242">
        <f>5337.29+6165.15</f>
        <v>11502.439999999999</v>
      </c>
      <c r="CZ80" s="242">
        <f>5147.86+5450.73</f>
        <v>10598.59</v>
      </c>
      <c r="DA80" s="242">
        <f>3498+3712.37</f>
        <v>7210.37</v>
      </c>
      <c r="DB80" s="242">
        <f>1917.99+2274.48</f>
        <v>4192.47</v>
      </c>
      <c r="DC80" s="590">
        <f>932.45+ 857.71</f>
        <v>1790.16</v>
      </c>
      <c r="DD80" s="593">
        <f t="shared" si="573"/>
        <v>52644.930000000008</v>
      </c>
      <c r="DF80" s="409">
        <f>4702.54+5391.6</f>
        <v>10094.14</v>
      </c>
      <c r="DG80" s="242">
        <f>5528.24+5138.84</f>
        <v>10667.08</v>
      </c>
      <c r="DH80" s="242">
        <f>5968.14+5202.69</f>
        <v>11170.83</v>
      </c>
      <c r="DI80" s="242">
        <f>3311.95+2981.57</f>
        <v>6293.52</v>
      </c>
      <c r="DJ80" s="242"/>
      <c r="DK80" s="242"/>
      <c r="DL80" s="590"/>
      <c r="DM80" s="593">
        <f t="shared" si="574"/>
        <v>38225.570000000007</v>
      </c>
      <c r="DO80" s="409"/>
      <c r="DP80" s="242"/>
      <c r="DQ80" s="242"/>
      <c r="DR80" s="242"/>
      <c r="DS80" s="242">
        <f xml:space="preserve"> 1.17+ 8.27</f>
        <v>9.44</v>
      </c>
      <c r="DT80" s="242">
        <f>1086.41+1244.27</f>
        <v>2330.6800000000003</v>
      </c>
      <c r="DU80" s="590">
        <f xml:space="preserve"> 695.44+ 595.75</f>
        <v>1291.19</v>
      </c>
      <c r="DV80" s="593">
        <f t="shared" si="575"/>
        <v>3631.3100000000004</v>
      </c>
      <c r="DX80" s="409">
        <f>2233.94+4432.83</f>
        <v>6666.77</v>
      </c>
      <c r="DY80" s="242">
        <f>4131.74+2114.96</f>
        <v>6246.7</v>
      </c>
      <c r="DZ80" s="242">
        <f xml:space="preserve"> 390.36+ 104.92</f>
        <v>495.28000000000003</v>
      </c>
      <c r="EA80" s="242">
        <f>3007.37+2597.8</f>
        <v>5605.17</v>
      </c>
      <c r="EB80" s="242"/>
      <c r="EC80" s="242"/>
      <c r="ED80" s="590"/>
      <c r="EE80" s="593">
        <f t="shared" si="576"/>
        <v>19013.920000000002</v>
      </c>
      <c r="EG80" s="409"/>
      <c r="EH80" s="242"/>
      <c r="EI80" s="242"/>
      <c r="EJ80" s="242"/>
      <c r="EK80" s="242"/>
      <c r="EL80" s="242"/>
      <c r="EM80" s="590"/>
      <c r="EN80" s="593">
        <f t="shared" si="577"/>
        <v>0</v>
      </c>
      <c r="EP80" s="409"/>
      <c r="EQ80" s="242"/>
      <c r="ER80" s="242"/>
      <c r="ES80" s="242"/>
      <c r="ET80" s="242"/>
      <c r="EU80" s="242"/>
      <c r="EV80" s="590"/>
      <c r="EW80" s="593">
        <f t="shared" si="578"/>
        <v>0</v>
      </c>
    </row>
    <row r="81" spans="2:153" ht="15" thickBot="1" x14ac:dyDescent="0.35">
      <c r="EG81"/>
      <c r="EH81"/>
      <c r="EI81"/>
      <c r="EJ81"/>
      <c r="EK81"/>
      <c r="EL81"/>
      <c r="EM81"/>
      <c r="EN81"/>
      <c r="EP81"/>
      <c r="EQ81"/>
      <c r="ER81"/>
      <c r="ES81"/>
      <c r="ET81"/>
      <c r="EU81"/>
      <c r="EV81"/>
      <c r="EW81"/>
    </row>
    <row r="82" spans="2:153" ht="16.2" thickBot="1" x14ac:dyDescent="0.35">
      <c r="B82" s="779" t="s">
        <v>331</v>
      </c>
      <c r="C82" s="509" t="s">
        <v>357</v>
      </c>
      <c r="D82" s="510" t="s">
        <v>300</v>
      </c>
      <c r="E82" s="510" t="s">
        <v>299</v>
      </c>
      <c r="F82" s="828"/>
      <c r="G82" s="829"/>
      <c r="I82" s="207">
        <f>33440.24+17521.99</f>
        <v>50962.229999999996</v>
      </c>
      <c r="J82" s="207">
        <f>40118.84+93011.38</f>
        <v>133130.22</v>
      </c>
      <c r="K82" s="207">
        <f>39359.72+46908.1</f>
        <v>86267.82</v>
      </c>
      <c r="L82" s="207">
        <f>37697.6+42772.79</f>
        <v>80470.39</v>
      </c>
      <c r="M82" s="207">
        <f>33783.52+33267.63</f>
        <v>67051.149999999994</v>
      </c>
      <c r="N82" s="207">
        <f>18512.48+17764.82</f>
        <v>36277.300000000003</v>
      </c>
      <c r="O82" s="224">
        <f>7674.66+15075.98</f>
        <v>22750.639999999999</v>
      </c>
      <c r="P82" s="172"/>
      <c r="Q82" s="225">
        <f>38527.73+38113.89</f>
        <v>76641.62</v>
      </c>
      <c r="R82" s="207">
        <f>40407.14+46228.33</f>
        <v>86635.47</v>
      </c>
      <c r="S82" s="207">
        <f>40003.03+46972.07</f>
        <v>86975.1</v>
      </c>
      <c r="T82" s="207">
        <f>37622.86+43052.63</f>
        <v>80675.489999999991</v>
      </c>
      <c r="U82" s="207">
        <f>33280.52+33672.02</f>
        <v>66952.539999999994</v>
      </c>
      <c r="V82" s="207">
        <f>17764.65+18054.92</f>
        <v>35819.57</v>
      </c>
      <c r="W82" s="207">
        <f>7070.98+14979.45</f>
        <v>22050.43</v>
      </c>
      <c r="X82" s="172"/>
      <c r="Y82" s="207">
        <f>36556.91+44253.67</f>
        <v>80810.58</v>
      </c>
      <c r="Z82" s="207">
        <f>42358.07+47900.83</f>
        <v>90258.9</v>
      </c>
      <c r="AA82" s="207">
        <f>40282.04+46604.07</f>
        <v>86886.11</v>
      </c>
      <c r="AB82" s="207">
        <f>36828.59+46052.2</f>
        <v>82880.789999999994</v>
      </c>
      <c r="AC82" s="207">
        <f>29329.37+35808.41</f>
        <v>65137.78</v>
      </c>
      <c r="AD82" s="207">
        <f>17830.02+16688.28</f>
        <v>34518.300000000003</v>
      </c>
      <c r="AE82" s="207">
        <f>8631.93+15606.47</f>
        <v>24238.400000000001</v>
      </c>
      <c r="AG82" s="207">
        <f>34879.41+47568.37</f>
        <v>82447.78</v>
      </c>
      <c r="AH82" s="207">
        <f>40055.62+52611.04</f>
        <v>92666.66</v>
      </c>
      <c r="AI82" s="207">
        <f>38145.25+53526.64</f>
        <v>91671.89</v>
      </c>
      <c r="AJ82" s="207">
        <f>34971.01+42815.64</f>
        <v>77786.649999999994</v>
      </c>
      <c r="AK82" s="207">
        <f>29782.29+27278.8</f>
        <v>57061.09</v>
      </c>
      <c r="AL82" s="207">
        <f>16749.92+15002.08</f>
        <v>31752</v>
      </c>
      <c r="AM82" s="207">
        <f>5929.33+12644.1</f>
        <v>18573.43</v>
      </c>
      <c r="AO82" s="207">
        <f>6053.59+11777.38</f>
        <v>17830.97</v>
      </c>
      <c r="AP82" s="207">
        <f>40465.14+48430.82</f>
        <v>88895.959999999992</v>
      </c>
      <c r="AQ82" s="207">
        <f>39974.88+38374.39</f>
        <v>78349.26999999999</v>
      </c>
      <c r="AR82" s="207">
        <f>16185.36+36425.54</f>
        <v>52610.9</v>
      </c>
      <c r="AS82" s="207">
        <f>29923.02+59241.02</f>
        <v>89164.04</v>
      </c>
      <c r="AT82" s="207">
        <f>21010.72+16514.47</f>
        <v>37525.19</v>
      </c>
      <c r="AU82" s="207">
        <f>10194.9+14632.15</f>
        <v>24827.05</v>
      </c>
      <c r="AW82" s="207"/>
      <c r="AX82" s="207">
        <f>40610.3+44189.15</f>
        <v>84799.450000000012</v>
      </c>
      <c r="AY82" s="207">
        <f>37989.7+43538.62</f>
        <v>81528.320000000007</v>
      </c>
      <c r="AZ82" s="207">
        <f>34366.45+39574.54</f>
        <v>73940.989999999991</v>
      </c>
      <c r="BA82" s="207">
        <f>28562.15+29113.89</f>
        <v>57676.04</v>
      </c>
      <c r="BB82" s="207">
        <f>12420.13+14001.32</f>
        <v>26421.449999999997</v>
      </c>
      <c r="BC82" s="207">
        <f>6744.57+12008.36</f>
        <v>18752.93</v>
      </c>
      <c r="BE82" s="207">
        <f>46569.66+42480.44</f>
        <v>89050.1</v>
      </c>
      <c r="BF82" s="207">
        <f>50633.35+48446</f>
        <v>99079.35</v>
      </c>
      <c r="BG82" s="207">
        <f>41272.34+44905.86</f>
        <v>86178.2</v>
      </c>
      <c r="BH82" s="207">
        <f>37077.53+41260.38</f>
        <v>78337.91</v>
      </c>
      <c r="BI82" s="207">
        <f>30821.07+26328.88</f>
        <v>57149.95</v>
      </c>
      <c r="BJ82" s="207">
        <f>17347.06+13913.38</f>
        <v>31260.440000000002</v>
      </c>
      <c r="BK82" s="207">
        <f>7691.47+13180.13</f>
        <v>20871.599999999999</v>
      </c>
      <c r="BM82" s="209">
        <f>39082.65+46405.09</f>
        <v>85487.739999999991</v>
      </c>
      <c r="BN82" s="210">
        <f>46593.7+48163.42</f>
        <v>94757.119999999995</v>
      </c>
      <c r="BO82" s="210">
        <f>46545.44+39523.29</f>
        <v>86068.73000000001</v>
      </c>
      <c r="BP82" s="210">
        <f>35421.49+43385.47</f>
        <v>78806.959999999992</v>
      </c>
      <c r="BQ82" s="210">
        <f>33502.75+31682.13</f>
        <v>65184.880000000005</v>
      </c>
      <c r="BR82" s="210">
        <f>19483.6+25514.06</f>
        <v>44997.66</v>
      </c>
      <c r="BS82" s="211">
        <f>14578.84+8257.37</f>
        <v>22836.21</v>
      </c>
      <c r="BT82" s="255">
        <f>SUM(BM82:BS82)</f>
        <v>478139.3</v>
      </c>
      <c r="BV82" s="209">
        <f>38467.88+35909.97</f>
        <v>74377.850000000006</v>
      </c>
      <c r="BW82" s="210">
        <f>45654.46+17068.49</f>
        <v>62722.95</v>
      </c>
      <c r="BX82" s="210">
        <f>43442.7+86675.62</f>
        <v>130118.31999999999</v>
      </c>
      <c r="BY82" s="210">
        <f>36763.1+45215.07</f>
        <v>81978.17</v>
      </c>
      <c r="BZ82" s="210">
        <f>28231.23+32938.67</f>
        <v>61169.899999999994</v>
      </c>
      <c r="CA82" s="210">
        <f>13044.47+18375.82</f>
        <v>31420.29</v>
      </c>
      <c r="CB82" s="211">
        <f>11888.63+11036</f>
        <v>22924.629999999997</v>
      </c>
      <c r="CC82" s="255">
        <f>SUM(BV82:CB82)</f>
        <v>464712.10999999993</v>
      </c>
      <c r="CE82" s="460">
        <f>32613.24+15532.51</f>
        <v>48145.75</v>
      </c>
      <c r="CF82" s="210">
        <f>41839.93+67958.59</f>
        <v>109798.51999999999</v>
      </c>
      <c r="CG82" s="210">
        <f>49068.87+46828.03</f>
        <v>95896.9</v>
      </c>
      <c r="CH82" s="210">
        <f>38600.88+46581.66</f>
        <v>85182.540000000008</v>
      </c>
      <c r="CI82" s="210">
        <f>35843+34205</f>
        <v>70048</v>
      </c>
      <c r="CJ82" s="210">
        <f>25747+23342</f>
        <v>49089</v>
      </c>
      <c r="CK82" s="211">
        <f>20311+7007</f>
        <v>27318</v>
      </c>
      <c r="CL82" s="255">
        <f>SUM(CE82:CK82)</f>
        <v>485478.70999999996</v>
      </c>
      <c r="CN82" s="460">
        <f>15870+7559</f>
        <v>23429</v>
      </c>
      <c r="CO82" s="210">
        <f>43344.61+50614.36</f>
        <v>93958.97</v>
      </c>
      <c r="CP82" s="210">
        <f>35228.63+37368.58</f>
        <v>72597.209999999992</v>
      </c>
      <c r="CQ82" s="210">
        <f>42458.07+48253</f>
        <v>90711.07</v>
      </c>
      <c r="CR82" s="210">
        <f>37771.84+32335.69</f>
        <v>70107.53</v>
      </c>
      <c r="CS82" s="210">
        <f>21365.36+24113.62</f>
        <v>45478.979999999996</v>
      </c>
      <c r="CT82" s="211">
        <f>11213.06+16790.35</f>
        <v>28003.409999999996</v>
      </c>
      <c r="CU82" s="255">
        <f>SUM(CN82:CT82)</f>
        <v>424286.17</v>
      </c>
      <c r="CW82" s="460">
        <f>47883.33+17888.23</f>
        <v>65771.56</v>
      </c>
      <c r="CX82" s="210">
        <v>93958.97</v>
      </c>
      <c r="CY82" s="210">
        <f>60688.96+54294.63</f>
        <v>114983.59</v>
      </c>
      <c r="CZ82" s="210">
        <f>53477.24+52077.73</f>
        <v>105554.97</v>
      </c>
      <c r="DA82" s="210">
        <f>43444.27+41680.71</f>
        <v>85124.98</v>
      </c>
      <c r="DB82" s="210">
        <f>30305.61+27839.64</f>
        <v>58145.25</v>
      </c>
      <c r="DC82" s="211">
        <f>14007.6+21491.88</f>
        <v>35499.480000000003</v>
      </c>
      <c r="DD82" s="255">
        <f>SUM(CW82:DC82)</f>
        <v>559038.79999999993</v>
      </c>
      <c r="DF82" s="460">
        <f>45164.85+46654.74</f>
        <v>91819.59</v>
      </c>
      <c r="DG82" s="210">
        <f>50939.09+45016.47</f>
        <v>95955.56</v>
      </c>
      <c r="DH82" s="210">
        <f>51696.49+46055.28</f>
        <v>97751.76999999999</v>
      </c>
      <c r="DI82" s="210">
        <f>32669.34+34906.12</f>
        <v>67575.460000000006</v>
      </c>
      <c r="DJ82" s="210"/>
      <c r="DK82" s="210"/>
      <c r="DL82" s="211"/>
      <c r="DM82" s="255">
        <f>SUM(DF82:DL82)</f>
        <v>353102.38</v>
      </c>
      <c r="DO82" s="460"/>
      <c r="DP82" s="210"/>
      <c r="DQ82" s="210"/>
      <c r="DR82" s="210"/>
      <c r="DS82" s="210">
        <f>0+6152.94</f>
        <v>6152.94</v>
      </c>
      <c r="DT82" s="210">
        <f>15238.3+8942.33</f>
        <v>24180.629999999997</v>
      </c>
      <c r="DU82" s="211">
        <f>3494.88+9821.98</f>
        <v>13316.86</v>
      </c>
      <c r="DV82" s="255">
        <f>SUM(DO82:DU82)</f>
        <v>43650.429999999993</v>
      </c>
      <c r="DX82" s="460">
        <f>5561.19+27329.79</f>
        <v>32890.980000000003</v>
      </c>
      <c r="DY82" s="210">
        <f>29497.32</f>
        <v>29497.32</v>
      </c>
      <c r="DZ82" s="210">
        <v>23060.61</v>
      </c>
      <c r="EA82" s="210">
        <v>27558.37</v>
      </c>
      <c r="EB82" s="210"/>
      <c r="EC82" s="210"/>
      <c r="ED82" s="211"/>
      <c r="EE82" s="255">
        <f>SUM(DX82:ED82)</f>
        <v>113007.28</v>
      </c>
      <c r="EG82" s="460"/>
      <c r="EH82" s="210"/>
      <c r="EI82" s="210"/>
      <c r="EJ82" s="210"/>
      <c r="EK82" s="210"/>
      <c r="EL82" s="210"/>
      <c r="EM82" s="211"/>
      <c r="EN82" s="255">
        <f>SUM(EG82:EM82)</f>
        <v>0</v>
      </c>
      <c r="EP82" s="460"/>
      <c r="EQ82" s="210"/>
      <c r="ER82" s="210"/>
      <c r="ES82" s="210"/>
      <c r="ET82" s="210"/>
      <c r="EU82" s="210"/>
      <c r="EV82" s="211"/>
      <c r="EW82" s="255">
        <f>SUM(EP82:EV82)</f>
        <v>0</v>
      </c>
    </row>
    <row r="83" spans="2:153" ht="15.6" x14ac:dyDescent="0.3">
      <c r="B83" s="780"/>
      <c r="C83" s="648" t="s">
        <v>356</v>
      </c>
      <c r="D83" s="649"/>
      <c r="E83" s="649" t="s">
        <v>299</v>
      </c>
      <c r="F83" s="650"/>
      <c r="G83" s="651"/>
      <c r="I83" s="207"/>
      <c r="J83" s="207"/>
      <c r="K83" s="207"/>
      <c r="L83" s="207"/>
      <c r="M83" s="207"/>
      <c r="N83" s="207"/>
      <c r="O83" s="224"/>
      <c r="P83" s="172"/>
      <c r="Q83" s="225"/>
      <c r="R83" s="207"/>
      <c r="S83" s="207"/>
      <c r="T83" s="207"/>
      <c r="U83" s="207"/>
      <c r="V83" s="207"/>
      <c r="W83" s="207"/>
      <c r="X83" s="172"/>
      <c r="Y83" s="207"/>
      <c r="Z83" s="207"/>
      <c r="AA83" s="207"/>
      <c r="AB83" s="207"/>
      <c r="AC83" s="207"/>
      <c r="AD83" s="207"/>
      <c r="AE83" s="207"/>
      <c r="AG83" s="207"/>
      <c r="AH83" s="207"/>
      <c r="AI83" s="207"/>
      <c r="AJ83" s="207"/>
      <c r="AK83" s="207"/>
      <c r="AL83" s="207"/>
      <c r="AM83" s="207"/>
      <c r="AO83" s="207"/>
      <c r="AP83" s="207"/>
      <c r="AQ83" s="207"/>
      <c r="AR83" s="207"/>
      <c r="AS83" s="207"/>
      <c r="AT83" s="207"/>
      <c r="AU83" s="207"/>
      <c r="AW83" s="207"/>
      <c r="AX83" s="207"/>
      <c r="AY83" s="207"/>
      <c r="AZ83" s="207"/>
      <c r="BA83" s="207"/>
      <c r="BB83" s="207"/>
      <c r="BC83" s="207"/>
      <c r="BE83" s="207"/>
      <c r="BF83" s="207"/>
      <c r="BG83" s="207"/>
      <c r="BH83" s="207"/>
      <c r="BI83" s="207"/>
      <c r="BJ83" s="207"/>
      <c r="BK83" s="207"/>
      <c r="BM83" s="226"/>
      <c r="BN83" s="207"/>
      <c r="BO83" s="207"/>
      <c r="BP83" s="207"/>
      <c r="BQ83" s="207"/>
      <c r="BR83" s="207"/>
      <c r="BS83" s="588"/>
      <c r="BT83" s="652"/>
      <c r="BV83" s="226"/>
      <c r="BW83" s="207"/>
      <c r="BX83" s="207"/>
      <c r="BY83" s="207"/>
      <c r="BZ83" s="207"/>
      <c r="CA83" s="207"/>
      <c r="CB83" s="588"/>
      <c r="CC83" s="652"/>
      <c r="CE83" s="653"/>
      <c r="CF83" s="207"/>
      <c r="CG83" s="207"/>
      <c r="CH83" s="207"/>
      <c r="CI83" s="207"/>
      <c r="CJ83" s="207"/>
      <c r="CK83" s="588"/>
      <c r="CL83" s="652"/>
      <c r="CN83" s="653"/>
      <c r="CO83" s="207"/>
      <c r="CP83" s="207"/>
      <c r="CQ83" s="207"/>
      <c r="CR83" s="207"/>
      <c r="CS83" s="207"/>
      <c r="CT83" s="588"/>
      <c r="CU83" s="652"/>
      <c r="CW83" s="653"/>
      <c r="CX83" s="207"/>
      <c r="CY83" s="207"/>
      <c r="CZ83" s="207"/>
      <c r="DA83" s="207"/>
      <c r="DB83" s="207"/>
      <c r="DC83" s="588"/>
      <c r="DD83" s="652"/>
      <c r="DF83" s="653"/>
      <c r="DG83" s="207"/>
      <c r="DH83" s="207"/>
      <c r="DI83" s="207"/>
      <c r="DJ83" s="207"/>
      <c r="DK83" s="207"/>
      <c r="DL83" s="588"/>
      <c r="DM83" s="652"/>
      <c r="DO83" s="653"/>
      <c r="DP83" s="207"/>
      <c r="DQ83" s="207"/>
      <c r="DR83" s="207"/>
      <c r="DS83" s="207"/>
      <c r="DT83" s="207"/>
      <c r="DU83" s="588"/>
      <c r="DV83" s="652"/>
      <c r="DX83" s="653">
        <v>5561.19</v>
      </c>
      <c r="DY83" s="207">
        <v>4499.6499999999996</v>
      </c>
      <c r="DZ83" s="207">
        <v>5561.69</v>
      </c>
      <c r="EA83" s="207">
        <v>26857.21</v>
      </c>
      <c r="EB83" s="207"/>
      <c r="EC83" s="207"/>
      <c r="ED83" s="588"/>
      <c r="EE83" s="255">
        <f>SUM(DX83:ED83)</f>
        <v>42479.74</v>
      </c>
      <c r="EG83" s="653"/>
      <c r="EH83" s="207"/>
      <c r="EI83" s="207"/>
      <c r="EJ83" s="207"/>
      <c r="EK83" s="207"/>
      <c r="EL83" s="207"/>
      <c r="EM83" s="588"/>
      <c r="EN83" s="255">
        <f>SUM(EG83:EM83)</f>
        <v>0</v>
      </c>
      <c r="EP83" s="653"/>
      <c r="EQ83" s="207"/>
      <c r="ER83" s="207"/>
      <c r="ES83" s="207"/>
      <c r="ET83" s="207"/>
      <c r="EU83" s="207"/>
      <c r="EV83" s="588"/>
      <c r="EW83" s="255">
        <f>SUM(EP83:EV83)</f>
        <v>0</v>
      </c>
    </row>
    <row r="84" spans="2:153" ht="15.6" x14ac:dyDescent="0.3">
      <c r="B84" s="780"/>
      <c r="C84" s="511" t="s">
        <v>185</v>
      </c>
      <c r="D84" s="512" t="s">
        <v>301</v>
      </c>
      <c r="E84" s="512"/>
      <c r="F84" s="822"/>
      <c r="G84" s="823"/>
      <c r="I84" s="173">
        <v>11493</v>
      </c>
      <c r="J84" s="173">
        <v>11965</v>
      </c>
      <c r="K84" s="173">
        <v>9796.9</v>
      </c>
      <c r="L84" s="173">
        <v>8900</v>
      </c>
      <c r="M84" s="173">
        <v>5102</v>
      </c>
      <c r="N84" s="173">
        <v>1758</v>
      </c>
      <c r="O84" s="174">
        <v>1418</v>
      </c>
      <c r="P84" s="172"/>
      <c r="Q84" s="175">
        <v>9722</v>
      </c>
      <c r="R84" s="173">
        <v>9201</v>
      </c>
      <c r="S84" s="173">
        <v>9019</v>
      </c>
      <c r="T84" s="173">
        <v>9134</v>
      </c>
      <c r="U84" s="173">
        <v>4700</v>
      </c>
      <c r="V84" s="173">
        <v>1877</v>
      </c>
      <c r="W84" s="173">
        <v>1418</v>
      </c>
      <c r="X84" s="172"/>
      <c r="Y84" s="173">
        <v>8525</v>
      </c>
      <c r="Z84" s="173">
        <v>11855</v>
      </c>
      <c r="AA84" s="173">
        <v>10658</v>
      </c>
      <c r="AB84" s="173">
        <v>9174</v>
      </c>
      <c r="AC84" s="173">
        <v>7226</v>
      </c>
      <c r="AD84" s="173">
        <v>1148</v>
      </c>
      <c r="AE84" s="173">
        <v>1599</v>
      </c>
      <c r="AG84" s="173">
        <v>10994</v>
      </c>
      <c r="AH84" s="173">
        <v>9828</v>
      </c>
      <c r="AI84" s="173">
        <v>10446</v>
      </c>
      <c r="AJ84" s="173">
        <v>7297</v>
      </c>
      <c r="AK84" s="173">
        <v>3962.049</v>
      </c>
      <c r="AL84" s="173">
        <v>1992.067</v>
      </c>
      <c r="AM84" s="173">
        <v>764.14099999999996</v>
      </c>
      <c r="AO84" s="173">
        <v>905.48500000000001</v>
      </c>
      <c r="AP84" s="173">
        <v>11219</v>
      </c>
      <c r="AQ84" s="173">
        <v>10654</v>
      </c>
      <c r="AR84" s="173">
        <v>12147</v>
      </c>
      <c r="AS84" s="173">
        <v>3936</v>
      </c>
      <c r="AT84" s="173">
        <v>1630</v>
      </c>
      <c r="AU84" s="173">
        <v>1077</v>
      </c>
      <c r="AW84" s="173"/>
      <c r="AX84" s="173">
        <v>9266</v>
      </c>
      <c r="AY84" s="173">
        <v>11055</v>
      </c>
      <c r="AZ84" s="173">
        <v>10821</v>
      </c>
      <c r="BA84" s="173">
        <v>4280</v>
      </c>
      <c r="BB84" s="173">
        <v>1188</v>
      </c>
      <c r="BC84" s="173">
        <v>901</v>
      </c>
      <c r="BE84" s="173">
        <v>10053</v>
      </c>
      <c r="BF84" s="173">
        <v>9523</v>
      </c>
      <c r="BG84" s="173">
        <v>9580</v>
      </c>
      <c r="BH84" s="173">
        <v>9249</v>
      </c>
      <c r="BI84" s="173">
        <v>4823</v>
      </c>
      <c r="BJ84" s="173">
        <v>2053</v>
      </c>
      <c r="BK84" s="173">
        <v>534</v>
      </c>
      <c r="BM84" s="212">
        <v>8224</v>
      </c>
      <c r="BN84" s="173">
        <v>7159</v>
      </c>
      <c r="BO84" s="173">
        <v>12421</v>
      </c>
      <c r="BP84" s="173">
        <v>9668</v>
      </c>
      <c r="BQ84" s="173">
        <v>4262</v>
      </c>
      <c r="BR84" s="173">
        <v>2782.7</v>
      </c>
      <c r="BS84" s="213">
        <v>631.6</v>
      </c>
      <c r="BT84" s="256">
        <f t="shared" ref="BT84:BT86" si="579">SUM(BM84:BS84)</f>
        <v>45148.299999999996</v>
      </c>
      <c r="BV84" s="212">
        <v>10828</v>
      </c>
      <c r="BW84" s="173">
        <v>8913</v>
      </c>
      <c r="BX84" s="173">
        <v>6338</v>
      </c>
      <c r="BY84" s="173">
        <v>8892</v>
      </c>
      <c r="BZ84" s="173">
        <v>4447</v>
      </c>
      <c r="CA84" s="173">
        <v>225</v>
      </c>
      <c r="CB84" s="213">
        <v>397</v>
      </c>
      <c r="CC84" s="256">
        <f>SUM(BV84:CB84)</f>
        <v>40040</v>
      </c>
      <c r="CE84" s="293">
        <v>8864</v>
      </c>
      <c r="CF84" s="173">
        <v>6603</v>
      </c>
      <c r="CG84" s="173">
        <v>9849</v>
      </c>
      <c r="CH84" s="173">
        <v>6700</v>
      </c>
      <c r="CI84" s="173">
        <v>1043</v>
      </c>
      <c r="CJ84" s="173">
        <v>304</v>
      </c>
      <c r="CK84" s="213">
        <v>0</v>
      </c>
      <c r="CL84" s="256">
        <f>SUM(CE84:CK84)</f>
        <v>33363</v>
      </c>
      <c r="CN84" s="293">
        <v>1073</v>
      </c>
      <c r="CO84" s="173">
        <v>9218</v>
      </c>
      <c r="CP84" s="173">
        <v>10455</v>
      </c>
      <c r="CQ84" s="173">
        <v>8326</v>
      </c>
      <c r="CR84" s="173">
        <v>4550</v>
      </c>
      <c r="CS84" s="173">
        <v>172</v>
      </c>
      <c r="CT84" s="213">
        <v>384</v>
      </c>
      <c r="CU84" s="256">
        <f>SUM(CN84:CT84)</f>
        <v>34178</v>
      </c>
      <c r="CW84" s="293">
        <v>10335</v>
      </c>
      <c r="CX84" s="173">
        <v>9558</v>
      </c>
      <c r="CY84" s="173">
        <v>8842</v>
      </c>
      <c r="CZ84" s="173">
        <v>8688</v>
      </c>
      <c r="DA84" s="173">
        <v>4977</v>
      </c>
      <c r="DB84" s="173">
        <v>1011</v>
      </c>
      <c r="DC84" s="213">
        <v>472</v>
      </c>
      <c r="DD84" s="256">
        <f>SUM(CW84:DC84)</f>
        <v>43883</v>
      </c>
      <c r="DF84" s="293">
        <v>9531</v>
      </c>
      <c r="DG84" s="173">
        <v>7793</v>
      </c>
      <c r="DH84" s="173">
        <v>7659</v>
      </c>
      <c r="DI84" s="173">
        <v>2932</v>
      </c>
      <c r="DJ84" s="173"/>
      <c r="DK84" s="173"/>
      <c r="DL84" s="213"/>
      <c r="DM84" s="256">
        <f>SUM(DF84:DL84)</f>
        <v>27915</v>
      </c>
      <c r="DO84" s="293"/>
      <c r="DP84" s="173"/>
      <c r="DQ84" s="173"/>
      <c r="DR84" s="173"/>
      <c r="DS84" s="173">
        <v>993.8</v>
      </c>
      <c r="DT84" s="173">
        <v>273</v>
      </c>
      <c r="DU84" s="213">
        <v>159</v>
      </c>
      <c r="DV84" s="256">
        <f>SUM(DO84:DU84)</f>
        <v>1425.8</v>
      </c>
      <c r="DX84" s="293">
        <v>176</v>
      </c>
      <c r="DY84" s="173">
        <v>949.6</v>
      </c>
      <c r="DZ84" s="173">
        <v>6947</v>
      </c>
      <c r="EA84" s="173">
        <v>9461</v>
      </c>
      <c r="EB84" s="173"/>
      <c r="EC84" s="173"/>
      <c r="ED84" s="213"/>
      <c r="EE84" s="256">
        <f>SUM(DX84:ED84)</f>
        <v>17533.599999999999</v>
      </c>
      <c r="EG84" s="293"/>
      <c r="EH84" s="173"/>
      <c r="EI84" s="173"/>
      <c r="EJ84" s="173"/>
      <c r="EK84" s="173"/>
      <c r="EL84" s="173"/>
      <c r="EM84" s="213"/>
      <c r="EN84" s="256">
        <f>SUM(EG84:EM84)</f>
        <v>0</v>
      </c>
      <c r="EP84" s="293"/>
      <c r="EQ84" s="173"/>
      <c r="ER84" s="173"/>
      <c r="ES84" s="173"/>
      <c r="ET84" s="173"/>
      <c r="EU84" s="173"/>
      <c r="EV84" s="213"/>
      <c r="EW84" s="256">
        <f>SUM(EP84:EV84)</f>
        <v>0</v>
      </c>
    </row>
    <row r="85" spans="2:153" ht="16.5" customHeight="1" x14ac:dyDescent="0.3">
      <c r="B85" s="780"/>
      <c r="C85" s="511" t="s">
        <v>31</v>
      </c>
      <c r="D85" s="512"/>
      <c r="E85" s="515" t="s">
        <v>309</v>
      </c>
      <c r="F85" s="822"/>
      <c r="G85" s="823"/>
      <c r="I85" s="173">
        <v>3</v>
      </c>
      <c r="J85" s="173">
        <v>0</v>
      </c>
      <c r="K85" s="173"/>
      <c r="L85" s="173">
        <v>159.75</v>
      </c>
      <c r="M85" s="173">
        <v>368.88</v>
      </c>
      <c r="N85" s="173">
        <v>177.56</v>
      </c>
      <c r="O85" s="174">
        <v>226.19</v>
      </c>
      <c r="P85" s="172"/>
      <c r="Q85" s="175">
        <v>391.63</v>
      </c>
      <c r="R85" s="173">
        <v>434.19</v>
      </c>
      <c r="S85" s="173">
        <v>389.81</v>
      </c>
      <c r="T85" s="173">
        <v>411.5</v>
      </c>
      <c r="U85" s="173">
        <v>307.75</v>
      </c>
      <c r="V85" s="173">
        <v>247.63</v>
      </c>
      <c r="W85" s="173">
        <v>140.31</v>
      </c>
      <c r="X85" s="172"/>
      <c r="Y85" s="173">
        <v>324.06</v>
      </c>
      <c r="Z85" s="173">
        <v>278.63</v>
      </c>
      <c r="AA85" s="173">
        <v>182.88</v>
      </c>
      <c r="AB85" s="173"/>
      <c r="AC85" s="173"/>
      <c r="AD85" s="173"/>
      <c r="AE85" s="173"/>
      <c r="AG85" s="173"/>
      <c r="AH85" s="173"/>
      <c r="AI85" s="173"/>
      <c r="AJ85" s="173"/>
      <c r="AK85" s="173"/>
      <c r="AL85" s="173"/>
      <c r="AM85" s="173"/>
      <c r="AO85" s="173"/>
      <c r="AP85" s="173"/>
      <c r="AQ85" s="173"/>
      <c r="AR85" s="173"/>
      <c r="AS85" s="173"/>
      <c r="AT85" s="173"/>
      <c r="AU85" s="173"/>
      <c r="AW85" s="173"/>
      <c r="AX85" s="173"/>
      <c r="AY85" s="173"/>
      <c r="AZ85" s="173"/>
      <c r="BA85" s="173"/>
      <c r="BB85" s="173"/>
      <c r="BC85" s="173"/>
      <c r="BE85" s="173"/>
      <c r="BF85" s="173"/>
      <c r="BG85" s="173"/>
      <c r="BH85" s="173"/>
      <c r="BI85" s="173"/>
      <c r="BJ85" s="173"/>
      <c r="BK85" s="173"/>
      <c r="BM85" s="212"/>
      <c r="BN85" s="173"/>
      <c r="BO85" s="173"/>
      <c r="BP85" s="173"/>
      <c r="BQ85" s="173"/>
      <c r="BR85" s="173"/>
      <c r="BS85" s="213"/>
      <c r="BT85" s="256">
        <f t="shared" si="579"/>
        <v>0</v>
      </c>
      <c r="BV85" s="212"/>
      <c r="BW85" s="173"/>
      <c r="BX85" s="173"/>
      <c r="BY85" s="173"/>
      <c r="BZ85" s="173"/>
      <c r="CA85" s="173"/>
      <c r="CB85" s="213"/>
      <c r="CC85" s="256">
        <f t="shared" ref="CC85:CC86" si="580">SUM(BV85:CB85)</f>
        <v>0</v>
      </c>
      <c r="CE85" s="293">
        <f t="shared" ref="CE85:CK85" si="581">CE68</f>
        <v>83.94</v>
      </c>
      <c r="CF85" s="173">
        <f t="shared" si="581"/>
        <v>61.44</v>
      </c>
      <c r="CG85" s="173">
        <f t="shared" si="581"/>
        <v>95.73</v>
      </c>
      <c r="CH85" s="173">
        <f t="shared" si="581"/>
        <v>61.19</v>
      </c>
      <c r="CI85" s="173">
        <f t="shared" si="581"/>
        <v>7.91</v>
      </c>
      <c r="CJ85" s="173">
        <f t="shared" si="581"/>
        <v>2.27</v>
      </c>
      <c r="CK85" s="173">
        <f t="shared" si="581"/>
        <v>0</v>
      </c>
      <c r="CL85" s="256">
        <f t="shared" ref="CL85:CL86" si="582">SUM(CE85:CK85)</f>
        <v>312.48</v>
      </c>
      <c r="CN85" s="173">
        <f>CN68</f>
        <v>7.7</v>
      </c>
      <c r="CO85" s="173">
        <f>CO68</f>
        <v>88.78</v>
      </c>
      <c r="CP85" s="173">
        <v>107.8</v>
      </c>
      <c r="CQ85" s="173">
        <v>75.31</v>
      </c>
      <c r="CR85" s="173">
        <f>CR68</f>
        <v>44.63</v>
      </c>
      <c r="CS85" s="173">
        <f>CS68</f>
        <v>1.22</v>
      </c>
      <c r="CT85" s="173">
        <f>CT68</f>
        <v>4.41</v>
      </c>
      <c r="CU85" s="256">
        <f t="shared" ref="CU85:CU86" si="583">SUM(CN85:CT85)</f>
        <v>329.85000000000008</v>
      </c>
      <c r="CW85" s="212">
        <f>CW68</f>
        <v>105.97</v>
      </c>
      <c r="CX85" s="212">
        <f>CX68</f>
        <v>90.38</v>
      </c>
      <c r="CY85" s="212">
        <f>CY68</f>
        <v>83.64</v>
      </c>
      <c r="CZ85" s="212">
        <f>CZ68</f>
        <v>90.92</v>
      </c>
      <c r="DA85" s="212">
        <f t="shared" ref="DA85:DC85" si="584">DA68</f>
        <v>51.61</v>
      </c>
      <c r="DB85" s="212">
        <f t="shared" si="584"/>
        <v>8.73</v>
      </c>
      <c r="DC85" s="212">
        <f t="shared" si="584"/>
        <v>4.03</v>
      </c>
      <c r="DD85" s="256">
        <f t="shared" ref="DD85:DD86" si="585">SUM(CW85:DC85)</f>
        <v>435.28000000000003</v>
      </c>
      <c r="DF85" s="212">
        <f>DF68</f>
        <v>93.28</v>
      </c>
      <c r="DG85" s="212">
        <f>DG68</f>
        <v>68.39</v>
      </c>
      <c r="DH85" s="173">
        <v>75.2</v>
      </c>
      <c r="DI85" s="173">
        <f>DI68</f>
        <v>31.38</v>
      </c>
      <c r="DJ85" s="173"/>
      <c r="DK85" s="212"/>
      <c r="DL85" s="212"/>
      <c r="DM85" s="256">
        <f t="shared" ref="DM85:DM86" si="586">SUM(DF85:DL85)</f>
        <v>268.25</v>
      </c>
      <c r="DO85" s="212"/>
      <c r="DP85" s="212"/>
      <c r="DQ85" s="173"/>
      <c r="DR85" s="173"/>
      <c r="DS85" s="173">
        <f>DS68</f>
        <v>8.5500000000000007</v>
      </c>
      <c r="DT85" s="173">
        <f t="shared" ref="DT85:DU85" si="587">DT68</f>
        <v>1.52</v>
      </c>
      <c r="DU85" s="173">
        <f t="shared" si="587"/>
        <v>0.95</v>
      </c>
      <c r="DV85" s="256">
        <f t="shared" ref="DV85:DV86" si="588">SUM(DO85:DU85)</f>
        <v>11.02</v>
      </c>
      <c r="DX85" s="293">
        <f>DX67</f>
        <v>0.93</v>
      </c>
      <c r="DY85" s="173">
        <f>DY67</f>
        <v>7.04</v>
      </c>
      <c r="DZ85" s="173">
        <f>DZ67</f>
        <v>72.75</v>
      </c>
      <c r="EA85" s="173">
        <f t="shared" ref="EA85:EB85" si="589">EA67</f>
        <v>83.6</v>
      </c>
      <c r="EB85" s="173">
        <f t="shared" si="589"/>
        <v>0</v>
      </c>
      <c r="EC85" s="212"/>
      <c r="ED85" s="212"/>
      <c r="EE85" s="256">
        <f t="shared" ref="EE85:EE86" si="590">SUM(DX85:ED85)</f>
        <v>164.32</v>
      </c>
      <c r="EG85" s="293">
        <f>EG67</f>
        <v>0</v>
      </c>
      <c r="EH85" s="173">
        <f>EH67</f>
        <v>0</v>
      </c>
      <c r="EI85" s="173">
        <f>EI67</f>
        <v>0</v>
      </c>
      <c r="EJ85" s="173">
        <f t="shared" ref="EJ85:EK85" si="591">EJ67</f>
        <v>0</v>
      </c>
      <c r="EK85" s="173">
        <f t="shared" si="591"/>
        <v>0</v>
      </c>
      <c r="EL85" s="212"/>
      <c r="EM85" s="212"/>
      <c r="EN85" s="256">
        <f t="shared" ref="EN85:EN86" si="592">SUM(EG85:EM85)</f>
        <v>0</v>
      </c>
      <c r="EP85" s="293">
        <f>EP67</f>
        <v>0</v>
      </c>
      <c r="EQ85" s="173">
        <f>EQ67</f>
        <v>0</v>
      </c>
      <c r="ER85" s="173">
        <f>ER67</f>
        <v>0</v>
      </c>
      <c r="ES85" s="173">
        <f t="shared" ref="ES85:ET85" si="593">ES67</f>
        <v>0</v>
      </c>
      <c r="ET85" s="173">
        <f t="shared" si="593"/>
        <v>0</v>
      </c>
      <c r="EU85" s="212"/>
      <c r="EV85" s="212"/>
      <c r="EW85" s="256">
        <f t="shared" ref="EW85:EW86" si="594">SUM(EP85:EV85)</f>
        <v>0</v>
      </c>
    </row>
    <row r="86" spans="2:153" ht="16.2" thickBot="1" x14ac:dyDescent="0.35">
      <c r="B86" s="780"/>
      <c r="C86" s="516" t="s">
        <v>186</v>
      </c>
      <c r="D86" s="517" t="s">
        <v>301</v>
      </c>
      <c r="E86" s="517"/>
      <c r="F86" s="816"/>
      <c r="G86" s="817"/>
      <c r="I86" s="173">
        <v>710</v>
      </c>
      <c r="J86" s="173">
        <v>310</v>
      </c>
      <c r="K86" s="173">
        <v>320</v>
      </c>
      <c r="L86" s="173">
        <v>310</v>
      </c>
      <c r="M86" s="173">
        <v>250</v>
      </c>
      <c r="N86" s="173">
        <v>90</v>
      </c>
      <c r="O86" s="174">
        <v>70</v>
      </c>
      <c r="P86" s="172"/>
      <c r="Q86" s="175">
        <v>290</v>
      </c>
      <c r="R86" s="173">
        <v>340</v>
      </c>
      <c r="S86" s="173">
        <v>360</v>
      </c>
      <c r="T86" s="173">
        <v>310</v>
      </c>
      <c r="U86" s="173">
        <v>260</v>
      </c>
      <c r="V86" s="173">
        <v>130</v>
      </c>
      <c r="W86" s="173">
        <v>90</v>
      </c>
      <c r="X86" s="172"/>
      <c r="Y86" s="173">
        <v>250</v>
      </c>
      <c r="Z86" s="173"/>
      <c r="AA86" s="173">
        <v>320</v>
      </c>
      <c r="AB86" s="173">
        <v>310</v>
      </c>
      <c r="AC86" s="173">
        <v>260</v>
      </c>
      <c r="AD86" s="173">
        <v>100</v>
      </c>
      <c r="AE86" s="173">
        <v>60</v>
      </c>
      <c r="AG86" s="173">
        <v>360</v>
      </c>
      <c r="AH86" s="173">
        <v>370</v>
      </c>
      <c r="AI86" s="173">
        <v>320</v>
      </c>
      <c r="AJ86" s="173">
        <v>280</v>
      </c>
      <c r="AK86" s="173">
        <v>200</v>
      </c>
      <c r="AL86" s="173">
        <v>120</v>
      </c>
      <c r="AM86" s="173">
        <v>170</v>
      </c>
      <c r="AO86" s="173">
        <v>30</v>
      </c>
      <c r="AP86" s="173"/>
      <c r="AQ86" s="173">
        <v>330</v>
      </c>
      <c r="AR86" s="173">
        <v>360</v>
      </c>
      <c r="AS86" s="173">
        <v>250</v>
      </c>
      <c r="AT86" s="173">
        <v>110</v>
      </c>
      <c r="AU86" s="173">
        <v>30</v>
      </c>
      <c r="AW86" s="173">
        <v>360</v>
      </c>
      <c r="AX86" s="173">
        <v>360</v>
      </c>
      <c r="AY86" s="173">
        <v>260</v>
      </c>
      <c r="AZ86" s="173">
        <v>370</v>
      </c>
      <c r="BA86" s="173">
        <v>200</v>
      </c>
      <c r="BB86" s="173">
        <v>110</v>
      </c>
      <c r="BC86" s="173">
        <v>40</v>
      </c>
      <c r="BE86" s="173">
        <v>370</v>
      </c>
      <c r="BF86" s="173">
        <v>340</v>
      </c>
      <c r="BG86" s="173">
        <v>260</v>
      </c>
      <c r="BH86" s="173">
        <v>310</v>
      </c>
      <c r="BI86" s="173">
        <v>310</v>
      </c>
      <c r="BJ86" s="173">
        <v>140</v>
      </c>
      <c r="BK86" s="173">
        <v>70</v>
      </c>
      <c r="BM86" s="244">
        <v>340</v>
      </c>
      <c r="BN86" s="242">
        <v>330</v>
      </c>
      <c r="BO86" s="242">
        <v>320</v>
      </c>
      <c r="BP86" s="242">
        <v>330</v>
      </c>
      <c r="BQ86" s="242">
        <v>250</v>
      </c>
      <c r="BR86" s="242">
        <v>120</v>
      </c>
      <c r="BS86" s="243">
        <v>80</v>
      </c>
      <c r="BT86" s="257">
        <f t="shared" si="579"/>
        <v>1770</v>
      </c>
      <c r="BV86" s="244">
        <v>380</v>
      </c>
      <c r="BW86" s="242">
        <v>320</v>
      </c>
      <c r="BX86" s="242">
        <v>320</v>
      </c>
      <c r="BY86" s="242">
        <v>320</v>
      </c>
      <c r="BZ86" s="242">
        <v>270</v>
      </c>
      <c r="CA86" s="242">
        <v>70</v>
      </c>
      <c r="CB86" s="243">
        <v>30</v>
      </c>
      <c r="CC86" s="257">
        <f t="shared" si="580"/>
        <v>1710</v>
      </c>
      <c r="CE86" s="462">
        <v>290</v>
      </c>
      <c r="CF86" s="242">
        <v>270</v>
      </c>
      <c r="CG86" s="242">
        <v>360</v>
      </c>
      <c r="CH86" s="242">
        <v>320</v>
      </c>
      <c r="CI86" s="242">
        <v>280</v>
      </c>
      <c r="CJ86" s="242">
        <v>190</v>
      </c>
      <c r="CK86" s="243">
        <v>100</v>
      </c>
      <c r="CL86" s="257">
        <f t="shared" si="582"/>
        <v>1810</v>
      </c>
      <c r="CN86" s="462">
        <v>0</v>
      </c>
      <c r="CO86" s="242">
        <v>310</v>
      </c>
      <c r="CP86" s="242">
        <v>104.45</v>
      </c>
      <c r="CQ86" s="242">
        <v>360</v>
      </c>
      <c r="CR86" s="242">
        <v>350</v>
      </c>
      <c r="CS86" s="242">
        <v>240</v>
      </c>
      <c r="CT86" s="243">
        <v>60</v>
      </c>
      <c r="CU86" s="257">
        <f t="shared" si="583"/>
        <v>1424.45</v>
      </c>
      <c r="CW86" s="462">
        <v>330</v>
      </c>
      <c r="CX86" s="242">
        <v>440</v>
      </c>
      <c r="CY86" s="242">
        <v>410</v>
      </c>
      <c r="CZ86" s="242">
        <v>450</v>
      </c>
      <c r="DA86" s="242">
        <v>450</v>
      </c>
      <c r="DB86" s="242">
        <v>360</v>
      </c>
      <c r="DC86" s="243">
        <v>130</v>
      </c>
      <c r="DD86" s="257">
        <f t="shared" si="585"/>
        <v>2570</v>
      </c>
      <c r="DF86" s="462">
        <v>330</v>
      </c>
      <c r="DG86" s="242">
        <v>350</v>
      </c>
      <c r="DH86" s="242"/>
      <c r="DI86" s="242">
        <v>350</v>
      </c>
      <c r="DJ86" s="242"/>
      <c r="DK86" s="242"/>
      <c r="DL86" s="243"/>
      <c r="DM86" s="257">
        <f t="shared" si="586"/>
        <v>1030</v>
      </c>
      <c r="DO86" s="462"/>
      <c r="DP86" s="242"/>
      <c r="DQ86" s="242"/>
      <c r="DR86" s="242"/>
      <c r="DS86" s="242">
        <v>0</v>
      </c>
      <c r="DT86" s="242">
        <v>720</v>
      </c>
      <c r="DU86" s="243">
        <v>0</v>
      </c>
      <c r="DV86" s="257">
        <f t="shared" si="588"/>
        <v>720</v>
      </c>
      <c r="DX86" s="462">
        <v>0</v>
      </c>
      <c r="DY86" s="242">
        <v>330</v>
      </c>
      <c r="DZ86" s="242">
        <v>170</v>
      </c>
      <c r="EA86" s="242">
        <v>270</v>
      </c>
      <c r="EB86" s="242"/>
      <c r="EC86" s="242"/>
      <c r="ED86" s="243"/>
      <c r="EE86" s="257">
        <f t="shared" si="590"/>
        <v>770</v>
      </c>
      <c r="EG86" s="462"/>
      <c r="EH86" s="242"/>
      <c r="EI86" s="242"/>
      <c r="EJ86" s="242"/>
      <c r="EK86" s="242"/>
      <c r="EL86" s="242"/>
      <c r="EM86" s="243"/>
      <c r="EN86" s="257">
        <f t="shared" si="592"/>
        <v>0</v>
      </c>
      <c r="EP86" s="462"/>
      <c r="EQ86" s="242"/>
      <c r="ER86" s="242"/>
      <c r="ES86" s="242"/>
      <c r="ET86" s="242"/>
      <c r="EU86" s="242"/>
      <c r="EV86" s="243"/>
      <c r="EW86" s="257">
        <f t="shared" si="594"/>
        <v>0</v>
      </c>
    </row>
    <row r="87" spans="2:153" x14ac:dyDescent="0.3">
      <c r="B87" s="780"/>
      <c r="C87" s="802" t="s">
        <v>187</v>
      </c>
      <c r="D87" s="803"/>
      <c r="E87" s="803"/>
      <c r="F87" s="803"/>
      <c r="G87" s="804"/>
      <c r="I87" s="201">
        <f>SUM(I41:O41)/SUM(I39:O39)</f>
        <v>56.627797956024537</v>
      </c>
      <c r="Q87" s="202">
        <f>SUM(Q41:W41)/SUM(Q39:W39)</f>
        <v>64.126416997622755</v>
      </c>
      <c r="Y87" s="201">
        <f>SUM(Y41:AE41)/SUM(Y39:AE39)</f>
        <v>55.146636675851823</v>
      </c>
      <c r="AG87" s="201">
        <f>SUM(AG41:AM41)/SUM(AG39:AM39)</f>
        <v>56.944398890301073</v>
      </c>
      <c r="AO87" s="201">
        <f>SUM(AO41:AU41)/SUM(AO39:AU39)</f>
        <v>38.121928115188915</v>
      </c>
      <c r="AW87" s="201">
        <f>SUM(AW41:BC41)/SUM(AW39:BC39)</f>
        <v>38.993230004019303</v>
      </c>
      <c r="BE87" s="201">
        <f>SUM(BE41:BK41)/SUM(BE39:BK39)</f>
        <v>72.492842617329259</v>
      </c>
      <c r="BM87" s="245">
        <f>SUM(BM41:BS41)/SUM(BM39:BS39)</f>
        <v>62.055120481927716</v>
      </c>
      <c r="BV87" s="245">
        <f>SUM(BV41:CB41)/SUM(BV39:CB39)</f>
        <v>48.286054721977045</v>
      </c>
      <c r="CE87" s="461">
        <f>SUM(CE41:CK41)/SUM(CE39:CK39)</f>
        <v>52.428910098522174</v>
      </c>
      <c r="CN87" s="461">
        <f>SUM(CN41:CT41)/SUM(CN39:CT39)</f>
        <v>57.88233492588509</v>
      </c>
      <c r="CW87" s="461">
        <f>SUM(CW41:DC41)/SUM(CW39:DC39)</f>
        <v>66.899912023460416</v>
      </c>
      <c r="DF87" s="461">
        <f>SUM(DF41:DL41)/SUM(DF39:DL39)</f>
        <v>62.43002887391723</v>
      </c>
      <c r="DO87" s="461" t="e">
        <f>SUM(DO41:DU41)/SUM(DO39:DU39)</f>
        <v>#DIV/0!</v>
      </c>
      <c r="DX87" s="461">
        <f>IF(ISNUMBER(SUM(DX39:ED39)),SUM(DX41:ED41)/SUM(DX39:ED39),)</f>
        <v>72.396103117505973</v>
      </c>
      <c r="EG87" s="461" t="e">
        <f>IF(ISNUMBER(SUM(EG39:EM39)),SUM(EG41:EM41)/SUM(EG39:EM39),)</f>
        <v>#DIV/0!</v>
      </c>
      <c r="EH87"/>
      <c r="EI87"/>
      <c r="EJ87"/>
      <c r="EK87"/>
      <c r="EL87"/>
      <c r="EM87"/>
      <c r="EN87"/>
      <c r="EP87" s="461" t="e">
        <f>IF(ISNUMBER(SUM(EP39:EV39)),SUM(EP41:EV41)/SUM(EP39:EV39),)</f>
        <v>#DIV/0!</v>
      </c>
      <c r="EQ87"/>
      <c r="ER87"/>
      <c r="ES87"/>
      <c r="ET87"/>
      <c r="EU87"/>
      <c r="EV87"/>
      <c r="EW87"/>
    </row>
    <row r="88" spans="2:153" ht="17.25" customHeight="1" thickBot="1" x14ac:dyDescent="0.35">
      <c r="B88" s="780"/>
      <c r="C88" s="802" t="s">
        <v>188</v>
      </c>
      <c r="D88" s="803"/>
      <c r="E88" s="803"/>
      <c r="F88" s="803"/>
      <c r="G88" s="804"/>
      <c r="I88" s="201">
        <f>SUM(I42:O42)/SUM(I39:O39)</f>
        <v>1.0895978311974328</v>
      </c>
      <c r="Q88" s="202">
        <f>SUM(Q42:W42)/SUM(Q39:W39)</f>
        <v>1.2930918941034557</v>
      </c>
      <c r="Y88" s="201">
        <f>SUM(Y42:AE42)/SUM(Y39:AE39)</f>
        <v>1.0790940626240428</v>
      </c>
      <c r="AG88" s="201">
        <f>SUM(AG42:AM42)/SUM(AG39:AM39)</f>
        <v>1.0717409426974429</v>
      </c>
      <c r="AO88" s="201">
        <f>SUM(AO42:AU42)/SUM(AO39:AU39)</f>
        <v>0.74661686694814322</v>
      </c>
      <c r="AW88" s="201">
        <f>SUM(AW42:BC42)/SUM(AW39:BC39)</f>
        <v>0.81582219654340837</v>
      </c>
      <c r="BE88" s="201">
        <f>SUM(BE42:BK42)/SUM(BE39:BK39)</f>
        <v>1.377008652657602</v>
      </c>
      <c r="BM88" s="246">
        <f>SUM(BM42:BS42)/SUM(BM39:BS39)</f>
        <v>1.0544427710843376</v>
      </c>
      <c r="BV88" s="246">
        <f>SUM(BV42:CB42)/SUM(BV39:CB39)</f>
        <v>0.81585760517799355</v>
      </c>
      <c r="CE88" s="403">
        <f>SUM(CE42:CK42)/SUM(CE39:CK39)</f>
        <v>0.78965517241379324</v>
      </c>
      <c r="CN88" s="403">
        <f>SUM(CN42:CT42)/SUM(CN39:CT39)</f>
        <v>0.73704520396912898</v>
      </c>
      <c r="CW88" s="403">
        <f>SUM(CW42:DC42)/SUM(CW39:DC39)</f>
        <v>1.0890029325513197</v>
      </c>
      <c r="DF88" s="403">
        <f>SUM(DF42:DL42)/SUM(DF39:DL39)</f>
        <v>0.96862367661212712</v>
      </c>
      <c r="DO88" s="403" t="e">
        <f>SUM(DO42:DU42)/SUM(DO39:DU39)</f>
        <v>#DIV/0!</v>
      </c>
      <c r="DX88" s="403">
        <f>IF(ISNUMBER(SUM(DX39:ED39)),SUM(DX42:ED42)/SUM(DX39:ED39),)</f>
        <v>1.1515587529976017</v>
      </c>
      <c r="EG88" s="403" t="e">
        <f>IF(ISNUMBER(SUM(EG39:EM39)),SUM(EG42:EM42)/SUM(EG39:EM39),)</f>
        <v>#DIV/0!</v>
      </c>
      <c r="EH88"/>
      <c r="EI88"/>
      <c r="EJ88"/>
      <c r="EK88"/>
      <c r="EL88"/>
      <c r="EM88"/>
      <c r="EN88"/>
      <c r="EP88" s="403" t="e">
        <f>IF(ISNUMBER(SUM(EP39:EV39)),SUM(EP42:EV42)/SUM(EP39:EV39),)</f>
        <v>#DIV/0!</v>
      </c>
      <c r="EQ88"/>
      <c r="ER88"/>
      <c r="ES88"/>
      <c r="ET88"/>
      <c r="EU88"/>
      <c r="EV88"/>
      <c r="EW88"/>
    </row>
    <row r="89" spans="2:153" ht="17.25" customHeight="1" thickBot="1" x14ac:dyDescent="0.35">
      <c r="B89" s="781"/>
      <c r="C89" s="811" t="s">
        <v>275</v>
      </c>
      <c r="D89" s="812"/>
      <c r="E89" s="812"/>
      <c r="F89" s="812"/>
      <c r="G89" s="813"/>
      <c r="I89" s="401"/>
      <c r="Q89" s="401"/>
      <c r="Y89" s="401"/>
      <c r="AG89" s="401"/>
      <c r="AO89" s="401"/>
      <c r="AW89" s="401"/>
      <c r="BE89" s="401"/>
      <c r="BM89" s="402"/>
      <c r="BV89" s="402"/>
      <c r="CE89" s="404">
        <f t="shared" ref="CE89:CK89" si="595">CE3+CE21</f>
        <v>48.8</v>
      </c>
      <c r="CF89" s="404">
        <f t="shared" si="595"/>
        <v>85.199999999999989</v>
      </c>
      <c r="CG89" s="404">
        <f t="shared" si="595"/>
        <v>78</v>
      </c>
      <c r="CH89" s="404">
        <f t="shared" si="595"/>
        <v>58.599999999999994</v>
      </c>
      <c r="CI89" s="404">
        <f t="shared" si="595"/>
        <v>27.6</v>
      </c>
      <c r="CJ89" s="404">
        <f t="shared" si="595"/>
        <v>18.600000000000001</v>
      </c>
      <c r="CK89" s="404">
        <f t="shared" si="595"/>
        <v>15.1</v>
      </c>
      <c r="CN89" s="404">
        <f t="shared" ref="CN89:CT89" si="596">CN3+CN21</f>
        <v>0</v>
      </c>
      <c r="CO89" s="404">
        <f t="shared" si="596"/>
        <v>75.300000000000011</v>
      </c>
      <c r="CP89" s="404">
        <f t="shared" si="596"/>
        <v>84.2</v>
      </c>
      <c r="CQ89" s="404">
        <f t="shared" si="596"/>
        <v>58.3</v>
      </c>
      <c r="CR89" s="404">
        <f t="shared" si="596"/>
        <v>39.700000000000003</v>
      </c>
      <c r="CS89" s="404">
        <f t="shared" si="596"/>
        <v>19.899999999999999</v>
      </c>
      <c r="CT89" s="404">
        <f t="shared" si="596"/>
        <v>13.9</v>
      </c>
      <c r="CW89" s="404">
        <f t="shared" ref="CW89:DC89" si="597">CW3+CW21</f>
        <v>74.699999999999989</v>
      </c>
      <c r="CX89" s="404">
        <f t="shared" si="597"/>
        <v>88.9</v>
      </c>
      <c r="CY89" s="404">
        <f t="shared" si="597"/>
        <v>91.2</v>
      </c>
      <c r="CZ89" s="404">
        <f t="shared" si="597"/>
        <v>68.8</v>
      </c>
      <c r="DA89" s="404">
        <f t="shared" si="597"/>
        <v>40.6</v>
      </c>
      <c r="DB89" s="404">
        <f t="shared" si="597"/>
        <v>24.2</v>
      </c>
      <c r="DC89" s="404">
        <f t="shared" si="597"/>
        <v>8.1</v>
      </c>
      <c r="DF89" s="404">
        <f t="shared" ref="DF89:DL89" si="598">DF3+DF21</f>
        <v>72.710000000000008</v>
      </c>
      <c r="DG89" s="404">
        <f t="shared" si="598"/>
        <v>79.2</v>
      </c>
      <c r="DH89" s="404">
        <f t="shared" si="598"/>
        <v>75.3</v>
      </c>
      <c r="DI89" s="404">
        <f t="shared" si="598"/>
        <v>25.3</v>
      </c>
      <c r="DJ89" s="404">
        <f t="shared" si="598"/>
        <v>0</v>
      </c>
      <c r="DK89" s="404">
        <f t="shared" si="598"/>
        <v>0</v>
      </c>
      <c r="DL89" s="404">
        <f t="shared" si="598"/>
        <v>0</v>
      </c>
      <c r="DO89" s="404">
        <f t="shared" ref="DO89:DU89" si="599">DO3+DO21</f>
        <v>0</v>
      </c>
      <c r="DP89" s="404">
        <f t="shared" si="599"/>
        <v>0</v>
      </c>
      <c r="DQ89" s="404">
        <f t="shared" si="599"/>
        <v>0</v>
      </c>
      <c r="DR89" s="404">
        <f t="shared" si="599"/>
        <v>0</v>
      </c>
      <c r="DS89" s="404">
        <f t="shared" si="599"/>
        <v>19.8</v>
      </c>
      <c r="DT89" s="404">
        <f t="shared" si="599"/>
        <v>27.2</v>
      </c>
      <c r="DU89" s="404">
        <f t="shared" si="599"/>
        <v>19.53</v>
      </c>
      <c r="DX89" s="404">
        <f t="shared" ref="DX89:DY89" si="600">DX3+DX21</f>
        <v>35</v>
      </c>
      <c r="DY89" s="404">
        <f t="shared" si="600"/>
        <v>26</v>
      </c>
      <c r="DZ89" s="404">
        <v>83.4</v>
      </c>
      <c r="EA89" s="404">
        <f t="shared" ref="EA89:ED89" si="601">EA3+EA21</f>
        <v>18.926000000000002</v>
      </c>
      <c r="EB89" s="404">
        <f t="shared" si="601"/>
        <v>0</v>
      </c>
      <c r="EC89" s="404">
        <f t="shared" si="601"/>
        <v>0</v>
      </c>
      <c r="ED89" s="404">
        <f t="shared" si="601"/>
        <v>0</v>
      </c>
      <c r="EG89" s="404">
        <f t="shared" ref="EG89:EH89" si="602">EG3+EG21</f>
        <v>0</v>
      </c>
      <c r="EH89" s="404">
        <f t="shared" si="602"/>
        <v>0</v>
      </c>
      <c r="EI89" s="404">
        <v>83.4</v>
      </c>
      <c r="EJ89" s="404">
        <f t="shared" ref="EJ89:EM89" si="603">EJ3+EJ21</f>
        <v>0</v>
      </c>
      <c r="EK89" s="404">
        <f t="shared" si="603"/>
        <v>0</v>
      </c>
      <c r="EL89" s="404">
        <f t="shared" si="603"/>
        <v>0</v>
      </c>
      <c r="EM89" s="404">
        <f t="shared" si="603"/>
        <v>0</v>
      </c>
      <c r="EN89"/>
      <c r="EP89" s="404">
        <f t="shared" ref="EP89:EQ89" si="604">EP3+EP21</f>
        <v>27.3</v>
      </c>
      <c r="EQ89" s="404">
        <f t="shared" si="604"/>
        <v>33.1</v>
      </c>
      <c r="ER89" s="404">
        <v>83.4</v>
      </c>
      <c r="ES89" s="404">
        <f t="shared" ref="ES89:EV89" si="605">ES3+ES21</f>
        <v>39.5</v>
      </c>
      <c r="ET89" s="404">
        <f t="shared" si="605"/>
        <v>43</v>
      </c>
      <c r="EU89" s="404">
        <f t="shared" si="605"/>
        <v>40.6</v>
      </c>
      <c r="EV89" s="404">
        <f t="shared" si="605"/>
        <v>32.299999999999997</v>
      </c>
      <c r="EW89"/>
    </row>
    <row r="90" spans="2:153" ht="15" thickBot="1" x14ac:dyDescent="0.35">
      <c r="EG90"/>
      <c r="EH90"/>
      <c r="EI90"/>
      <c r="EJ90"/>
      <c r="EK90"/>
      <c r="EL90"/>
      <c r="EM90"/>
      <c r="EN90"/>
      <c r="EP90"/>
      <c r="EQ90"/>
      <c r="ER90"/>
      <c r="ES90"/>
      <c r="ET90"/>
      <c r="EU90"/>
      <c r="EV90"/>
      <c r="EW90"/>
    </row>
    <row r="91" spans="2:153" ht="15.6" x14ac:dyDescent="0.3">
      <c r="C91" s="454" t="s">
        <v>279</v>
      </c>
      <c r="D91" s="452" t="s">
        <v>149</v>
      </c>
      <c r="CE91" s="209">
        <f t="shared" ref="CE91:CK91" si="606">CE4*0.0036</f>
        <v>7.4019240000000002</v>
      </c>
      <c r="CF91" s="209">
        <f t="shared" si="606"/>
        <v>128.31771599999999</v>
      </c>
      <c r="CG91" s="209">
        <f t="shared" si="606"/>
        <v>95.024268000000006</v>
      </c>
      <c r="CH91" s="209">
        <f t="shared" si="606"/>
        <v>96.376968000000005</v>
      </c>
      <c r="CI91" s="209">
        <f t="shared" si="606"/>
        <v>81.147599999999997</v>
      </c>
      <c r="CJ91" s="209">
        <f t="shared" si="606"/>
        <v>58.435200000000002</v>
      </c>
      <c r="CK91" s="209">
        <f t="shared" si="606"/>
        <v>45.723599999999998</v>
      </c>
      <c r="CN91" s="209">
        <f t="shared" ref="CN91:CT91" si="607">CN4*0.0036</f>
        <v>30.610799999999998</v>
      </c>
      <c r="CO91" s="209">
        <f t="shared" si="607"/>
        <v>105.935976</v>
      </c>
      <c r="CP91" s="209">
        <f t="shared" si="607"/>
        <v>75.673475999999994</v>
      </c>
      <c r="CQ91" s="209">
        <f t="shared" si="607"/>
        <v>96.932699999999997</v>
      </c>
      <c r="CR91" s="209">
        <f t="shared" si="607"/>
        <v>76.345991999999995</v>
      </c>
      <c r="CS91" s="209">
        <f t="shared" si="607"/>
        <v>51.008867999999993</v>
      </c>
      <c r="CT91" s="209">
        <f t="shared" si="607"/>
        <v>33.005915999999999</v>
      </c>
      <c r="CW91" s="209">
        <f t="shared" ref="CW91:DC91" si="608">CW4*0.0036</f>
        <v>7.3590840000000002</v>
      </c>
      <c r="CX91" s="210">
        <f t="shared" si="608"/>
        <v>126.9576</v>
      </c>
      <c r="CY91" s="210">
        <f t="shared" si="608"/>
        <v>114.218568</v>
      </c>
      <c r="CZ91" s="210">
        <f t="shared" si="608"/>
        <v>103.178376</v>
      </c>
      <c r="DA91" s="210">
        <f t="shared" si="608"/>
        <v>87.510599999999997</v>
      </c>
      <c r="DB91" s="210">
        <f t="shared" si="608"/>
        <v>55.624067999999994</v>
      </c>
      <c r="DC91" s="211">
        <f t="shared" si="608"/>
        <v>40.617791999999994</v>
      </c>
      <c r="DF91" s="209">
        <f t="shared" ref="DF91:DL91" si="609">DF4*0.0036</f>
        <v>93.404375999999999</v>
      </c>
      <c r="DG91" s="210">
        <f>DG4*0.0036</f>
        <v>98.503523999999999</v>
      </c>
      <c r="DH91" s="210">
        <f t="shared" si="609"/>
        <v>95.158224000000004</v>
      </c>
      <c r="DI91" s="210">
        <f t="shared" si="609"/>
        <v>68.007924000000003</v>
      </c>
      <c r="DJ91" s="210">
        <f t="shared" si="609"/>
        <v>0</v>
      </c>
      <c r="DK91" s="210">
        <f t="shared" si="609"/>
        <v>0</v>
      </c>
      <c r="DL91" s="211">
        <f t="shared" si="609"/>
        <v>0</v>
      </c>
      <c r="DO91" s="209">
        <f t="shared" ref="DO91" si="610">DO4*0.0036</f>
        <v>0</v>
      </c>
      <c r="DP91" s="210">
        <f>DP4*0.0036</f>
        <v>0</v>
      </c>
      <c r="DQ91" s="210">
        <f t="shared" ref="DQ91:DU91" si="611">DQ4*0.0036</f>
        <v>0</v>
      </c>
      <c r="DR91" s="210">
        <f t="shared" si="611"/>
        <v>0</v>
      </c>
      <c r="DS91" s="210">
        <f>DS4*0.0036</f>
        <v>11.291868000000001</v>
      </c>
      <c r="DT91" s="210">
        <f>DT4*0.0036</f>
        <v>15.846299999999999</v>
      </c>
      <c r="DU91" s="211">
        <f t="shared" si="611"/>
        <v>24.115715999999999</v>
      </c>
      <c r="DX91" s="209">
        <f t="shared" ref="DX91" si="612">DX4*0.0036</f>
        <v>92.209612499999992</v>
      </c>
      <c r="DY91" s="210">
        <f>DY4*0.0036</f>
        <v>96.824924999999993</v>
      </c>
      <c r="DZ91" s="210">
        <f t="shared" ref="DZ91:ED91" si="613">DZ4*0.0036</f>
        <v>24.415649999999999</v>
      </c>
      <c r="EA91" s="210">
        <f t="shared" si="613"/>
        <v>30.982715999999996</v>
      </c>
      <c r="EB91" s="210">
        <f t="shared" si="613"/>
        <v>0</v>
      </c>
      <c r="EC91" s="210">
        <f t="shared" si="613"/>
        <v>0</v>
      </c>
      <c r="ED91" s="211">
        <f t="shared" si="613"/>
        <v>0</v>
      </c>
      <c r="EG91" s="209">
        <f t="shared" ref="EG91" si="614">EG4*0.0036</f>
        <v>16.441312499999999</v>
      </c>
      <c r="EH91" s="210">
        <f>EH4*0.0036</f>
        <v>101.002275</v>
      </c>
      <c r="EI91" s="210">
        <f t="shared" ref="EI91:EM91" si="615">EI4*0.0036</f>
        <v>97.813012499999999</v>
      </c>
      <c r="EJ91" s="210">
        <f t="shared" si="615"/>
        <v>100.8880875</v>
      </c>
      <c r="EK91" s="210">
        <f t="shared" si="615"/>
        <v>94.361512500000003</v>
      </c>
      <c r="EL91" s="210">
        <f t="shared" si="615"/>
        <v>90.64451249999999</v>
      </c>
      <c r="EM91" s="211">
        <f t="shared" si="615"/>
        <v>93.387599999999992</v>
      </c>
      <c r="EN91"/>
      <c r="EP91" s="209">
        <f t="shared" ref="EP91" si="616">EP4*0.0036</f>
        <v>83.866387500000002</v>
      </c>
      <c r="EQ91" s="210">
        <f>EQ4*0.0036</f>
        <v>80.941050000000004</v>
      </c>
      <c r="ER91" s="210">
        <f t="shared" ref="ER91:EV91" si="617">ER4*0.0036</f>
        <v>70.121925000000005</v>
      </c>
      <c r="ES91" s="210">
        <f t="shared" si="617"/>
        <v>105.9341625</v>
      </c>
      <c r="ET91" s="210">
        <f t="shared" si="617"/>
        <v>104.036175</v>
      </c>
      <c r="EU91" s="210">
        <f t="shared" si="617"/>
        <v>95.842124999999996</v>
      </c>
      <c r="EV91" s="211">
        <f t="shared" si="617"/>
        <v>85.901737499999996</v>
      </c>
      <c r="EW91"/>
    </row>
    <row r="92" spans="2:153" ht="15.6" x14ac:dyDescent="0.3">
      <c r="C92" s="455" t="s">
        <v>280</v>
      </c>
      <c r="D92" s="147" t="s">
        <v>149</v>
      </c>
      <c r="CE92" s="212">
        <f t="shared" ref="CE92:CK92" si="618">CE22*0.0036</f>
        <v>98.555507999999989</v>
      </c>
      <c r="CF92" s="212">
        <f t="shared" si="618"/>
        <v>125.91064799999999</v>
      </c>
      <c r="CG92" s="212">
        <f t="shared" si="618"/>
        <v>144.84794400000001</v>
      </c>
      <c r="CH92" s="212">
        <f t="shared" si="618"/>
        <v>120.766212</v>
      </c>
      <c r="CI92" s="212">
        <f t="shared" si="618"/>
        <v>108.74159999999999</v>
      </c>
      <c r="CJ92" s="212">
        <f t="shared" si="618"/>
        <v>76.978799999999993</v>
      </c>
      <c r="CK92" s="212">
        <f t="shared" si="618"/>
        <v>22.165199999999999</v>
      </c>
      <c r="CN92" s="212">
        <f t="shared" ref="CN92:CT92" si="619">CN22*0.0036</f>
        <v>22.0428</v>
      </c>
      <c r="CO92" s="212">
        <f t="shared" si="619"/>
        <v>114.89561999999999</v>
      </c>
      <c r="CP92" s="212">
        <f t="shared" si="619"/>
        <v>93.867408000000012</v>
      </c>
      <c r="CQ92" s="212">
        <f t="shared" si="619"/>
        <v>109.848456</v>
      </c>
      <c r="CR92" s="212">
        <f t="shared" si="619"/>
        <v>85.187880000000007</v>
      </c>
      <c r="CS92" s="212">
        <f t="shared" si="619"/>
        <v>66.820571999999999</v>
      </c>
      <c r="CT92" s="212">
        <f t="shared" si="619"/>
        <v>36.234036000000003</v>
      </c>
      <c r="CW92" s="212">
        <f t="shared" ref="CW92:DC92" si="620">CW22*0.0036</f>
        <v>127.493748</v>
      </c>
      <c r="CX92" s="173">
        <f t="shared" si="620"/>
        <v>144.13899599999999</v>
      </c>
      <c r="CY92" s="173">
        <f t="shared" si="620"/>
        <v>144.760896</v>
      </c>
      <c r="CZ92" s="173">
        <f t="shared" si="620"/>
        <v>128.18606400000002</v>
      </c>
      <c r="DA92" s="173">
        <f t="shared" si="620"/>
        <v>104.18975999999999</v>
      </c>
      <c r="DB92" s="173">
        <f t="shared" si="620"/>
        <v>84.778559999999999</v>
      </c>
      <c r="DC92" s="213">
        <f t="shared" si="620"/>
        <v>44.489376</v>
      </c>
      <c r="DF92" s="212">
        <f t="shared" ref="DF92:DL92" si="621">DF22*0.0036</f>
        <v>121.011948</v>
      </c>
      <c r="DG92" s="173">
        <f>DG22*0.0036</f>
        <v>131.40327600000001</v>
      </c>
      <c r="DH92" s="173">
        <f t="shared" si="621"/>
        <v>132.88896</v>
      </c>
      <c r="DI92" s="173">
        <f t="shared" si="621"/>
        <v>85.740155999999999</v>
      </c>
      <c r="DJ92" s="173">
        <f t="shared" si="621"/>
        <v>0</v>
      </c>
      <c r="DK92" s="173">
        <f t="shared" si="621"/>
        <v>0</v>
      </c>
      <c r="DL92" s="213">
        <f t="shared" si="621"/>
        <v>0</v>
      </c>
      <c r="DO92" s="212">
        <f t="shared" ref="DO92" si="622">DO22*0.0036</f>
        <v>0</v>
      </c>
      <c r="DP92" s="173">
        <f>DP22*0.0036</f>
        <v>0</v>
      </c>
      <c r="DQ92" s="173">
        <f t="shared" ref="DQ92:DU92" si="623">DQ22*0.0036</f>
        <v>0</v>
      </c>
      <c r="DR92" s="173">
        <f t="shared" si="623"/>
        <v>0</v>
      </c>
      <c r="DS92" s="173">
        <f t="shared" si="623"/>
        <v>0</v>
      </c>
      <c r="DT92" s="173">
        <f t="shared" si="623"/>
        <v>42.902279999999998</v>
      </c>
      <c r="DU92" s="213">
        <f t="shared" si="623"/>
        <v>8.2575000000000003</v>
      </c>
      <c r="DX92" s="212">
        <f t="shared" ref="DX92" si="624">DX22*0.0036</f>
        <v>15.406775999999999</v>
      </c>
      <c r="DY92" s="173">
        <f>DY22*0.0036</f>
        <v>22.645727999999998</v>
      </c>
      <c r="DZ92" s="173">
        <f t="shared" ref="DZ92:ED92" si="625">DZ22*0.0036</f>
        <v>19.440396</v>
      </c>
      <c r="EA92" s="173">
        <f t="shared" si="625"/>
        <v>68.962643999999997</v>
      </c>
      <c r="EB92" s="173">
        <f t="shared" si="625"/>
        <v>0</v>
      </c>
      <c r="EC92" s="173">
        <f t="shared" si="625"/>
        <v>0</v>
      </c>
      <c r="ED92" s="213">
        <f t="shared" si="625"/>
        <v>0</v>
      </c>
      <c r="EG92" s="212">
        <f t="shared" ref="EG92" si="626">EG22*0.0036</f>
        <v>0</v>
      </c>
      <c r="EH92" s="173">
        <f>EH22*0.0036</f>
        <v>0</v>
      </c>
      <c r="EI92" s="173">
        <f t="shared" ref="EI92:EM92" si="627">EI22*0.0036</f>
        <v>0</v>
      </c>
      <c r="EJ92" s="173">
        <f t="shared" si="627"/>
        <v>0</v>
      </c>
      <c r="EK92" s="173">
        <f t="shared" si="627"/>
        <v>0</v>
      </c>
      <c r="EL92" s="173">
        <f t="shared" si="627"/>
        <v>0</v>
      </c>
      <c r="EM92" s="213">
        <f t="shared" si="627"/>
        <v>0</v>
      </c>
      <c r="EN92"/>
      <c r="EP92" s="212">
        <f t="shared" ref="EP92" si="628">EP22*0.0036</f>
        <v>0</v>
      </c>
      <c r="EQ92" s="173">
        <f>EQ22*0.0036</f>
        <v>0</v>
      </c>
      <c r="ER92" s="173">
        <f t="shared" ref="ER92:EV92" si="629">ER22*0.0036</f>
        <v>0</v>
      </c>
      <c r="ES92" s="173">
        <f t="shared" si="629"/>
        <v>0</v>
      </c>
      <c r="ET92" s="173">
        <f t="shared" si="629"/>
        <v>0</v>
      </c>
      <c r="EU92" s="173">
        <f t="shared" si="629"/>
        <v>0</v>
      </c>
      <c r="EV92" s="213">
        <f t="shared" si="629"/>
        <v>0</v>
      </c>
      <c r="EW92"/>
    </row>
    <row r="93" spans="2:153" ht="15.6" x14ac:dyDescent="0.3">
      <c r="C93" s="455" t="s">
        <v>250</v>
      </c>
      <c r="D93" s="147" t="s">
        <v>149</v>
      </c>
      <c r="CE93" s="212">
        <f t="shared" ref="CE93:CK93" si="630">CE41*0.0036</f>
        <v>13.815719999999999</v>
      </c>
      <c r="CF93" s="212">
        <f t="shared" si="630"/>
        <v>11.779344</v>
      </c>
      <c r="CG93" s="212">
        <f t="shared" si="630"/>
        <v>18.833976</v>
      </c>
      <c r="CH93" s="212">
        <f t="shared" si="630"/>
        <v>12.468636</v>
      </c>
      <c r="CI93" s="212">
        <f t="shared" si="630"/>
        <v>1.8324</v>
      </c>
      <c r="CJ93" s="212">
        <f t="shared" si="630"/>
        <v>1.4076</v>
      </c>
      <c r="CK93" s="212">
        <f t="shared" si="630"/>
        <v>1.1663999999999999</v>
      </c>
      <c r="CN93" s="212">
        <f t="shared" ref="CN93:CT93" si="631">CN41*0.0036</f>
        <v>1.2924</v>
      </c>
      <c r="CO93" s="212">
        <f t="shared" si="631"/>
        <v>16.946747999999999</v>
      </c>
      <c r="CP93" s="212">
        <f t="shared" si="631"/>
        <v>24.293268000000001</v>
      </c>
      <c r="CQ93" s="212">
        <f t="shared" si="631"/>
        <v>13.625783999999999</v>
      </c>
      <c r="CR93" s="212">
        <f t="shared" si="631"/>
        <v>8.6937479999999994</v>
      </c>
      <c r="CS93" s="212">
        <f t="shared" si="631"/>
        <v>1.6504559999999999</v>
      </c>
      <c r="CT93" s="212">
        <f t="shared" si="631"/>
        <v>1.5366600000000001</v>
      </c>
      <c r="CW93" s="212">
        <f t="shared" ref="CW93:DC93" si="632">CW41*0.0036</f>
        <v>20.200679999999998</v>
      </c>
      <c r="CX93" s="173">
        <f t="shared" si="632"/>
        <v>16.182179999999999</v>
      </c>
      <c r="CY93" s="173">
        <f t="shared" si="632"/>
        <v>16.016832000000001</v>
      </c>
      <c r="CZ93" s="173">
        <f t="shared" si="632"/>
        <v>17.573939999999997</v>
      </c>
      <c r="DA93" s="173">
        <f t="shared" si="632"/>
        <v>8.7192720000000001</v>
      </c>
      <c r="DB93" s="173">
        <f t="shared" si="632"/>
        <v>1.845828</v>
      </c>
      <c r="DC93" s="213">
        <f t="shared" si="632"/>
        <v>1.5875999999999999</v>
      </c>
      <c r="DF93" s="212">
        <f t="shared" ref="DF93:DL93" si="633">DF41*0.0036</f>
        <v>16.660367999999998</v>
      </c>
      <c r="DG93" s="173">
        <f>DG41*0.0036</f>
        <v>8.0779680000000003</v>
      </c>
      <c r="DH93" s="173">
        <f t="shared" si="633"/>
        <v>13.734432</v>
      </c>
      <c r="DI93" s="173">
        <f t="shared" si="633"/>
        <v>8.229887999999999</v>
      </c>
      <c r="DJ93" s="173">
        <f t="shared" si="633"/>
        <v>0</v>
      </c>
      <c r="DK93" s="173">
        <f t="shared" si="633"/>
        <v>0</v>
      </c>
      <c r="DL93" s="213">
        <f t="shared" si="633"/>
        <v>0</v>
      </c>
      <c r="DO93" s="212">
        <f t="shared" ref="DO93" si="634">DO41*0.0036</f>
        <v>0</v>
      </c>
      <c r="DP93" s="173">
        <f>DP41*0.0036</f>
        <v>0</v>
      </c>
      <c r="DQ93" s="173">
        <f t="shared" ref="DQ93:DU93" si="635">DQ41*0.0036</f>
        <v>0</v>
      </c>
      <c r="DR93" s="173">
        <f t="shared" si="635"/>
        <v>0</v>
      </c>
      <c r="DS93" s="173">
        <f t="shared" si="635"/>
        <v>0</v>
      </c>
      <c r="DT93" s="173">
        <f t="shared" si="635"/>
        <v>0.20192400000000002</v>
      </c>
      <c r="DU93" s="213">
        <f t="shared" si="635"/>
        <v>7.7147999999999994E-2</v>
      </c>
      <c r="DX93" s="212">
        <f t="shared" ref="DX93" si="636">DX41*0.0036</f>
        <v>0.322272</v>
      </c>
      <c r="DY93" s="173">
        <f>DY41*0.0036</f>
        <v>0.60155999999999998</v>
      </c>
      <c r="DZ93" s="173">
        <f t="shared" ref="DZ93:ED93" si="637">DZ41*0.0036</f>
        <v>18.161928</v>
      </c>
      <c r="EA93" s="173">
        <f t="shared" si="637"/>
        <v>24.386651999999998</v>
      </c>
      <c r="EB93" s="173">
        <f t="shared" si="637"/>
        <v>0</v>
      </c>
      <c r="EC93" s="173">
        <f t="shared" si="637"/>
        <v>0</v>
      </c>
      <c r="ED93" s="213">
        <f t="shared" si="637"/>
        <v>0</v>
      </c>
      <c r="EG93" s="212">
        <f t="shared" ref="EG93" si="638">EG41*0.0036</f>
        <v>0</v>
      </c>
      <c r="EH93" s="173">
        <f>EH41*0.0036</f>
        <v>0</v>
      </c>
      <c r="EI93" s="173">
        <f t="shared" ref="EI93:EM93" si="639">EI41*0.0036</f>
        <v>0</v>
      </c>
      <c r="EJ93" s="173">
        <f t="shared" si="639"/>
        <v>0</v>
      </c>
      <c r="EK93" s="173">
        <f t="shared" si="639"/>
        <v>0</v>
      </c>
      <c r="EL93" s="173">
        <f t="shared" si="639"/>
        <v>0</v>
      </c>
      <c r="EM93" s="213">
        <f t="shared" si="639"/>
        <v>0</v>
      </c>
      <c r="EN93"/>
      <c r="EP93" s="212">
        <f t="shared" ref="EP93" si="640">EP41*0.0036</f>
        <v>0</v>
      </c>
      <c r="EQ93" s="173">
        <f>EQ41*0.0036</f>
        <v>0</v>
      </c>
      <c r="ER93" s="173">
        <f t="shared" ref="ER93:EV93" si="641">ER41*0.0036</f>
        <v>0</v>
      </c>
      <c r="ES93" s="173">
        <f t="shared" si="641"/>
        <v>0</v>
      </c>
      <c r="ET93" s="173">
        <f t="shared" si="641"/>
        <v>0</v>
      </c>
      <c r="EU93" s="173">
        <f t="shared" si="641"/>
        <v>0</v>
      </c>
      <c r="EV93" s="213">
        <f t="shared" si="641"/>
        <v>0</v>
      </c>
      <c r="EW93"/>
    </row>
    <row r="94" spans="2:153" ht="15.6" x14ac:dyDescent="0.3">
      <c r="C94" s="455" t="s">
        <v>281</v>
      </c>
      <c r="D94" s="147" t="s">
        <v>149</v>
      </c>
      <c r="CE94" s="212">
        <f t="shared" ref="CE94:CK94" si="642">(CE58+CE59)*0.0036</f>
        <v>1.05395328</v>
      </c>
      <c r="CF94" s="212">
        <f t="shared" si="642"/>
        <v>7.7226476399999999</v>
      </c>
      <c r="CG94" s="212">
        <f t="shared" si="642"/>
        <v>7.1617787999999996</v>
      </c>
      <c r="CH94" s="212">
        <f t="shared" si="642"/>
        <v>5.6490807600000004</v>
      </c>
      <c r="CI94" s="212">
        <f t="shared" si="642"/>
        <v>4.4874000000000001</v>
      </c>
      <c r="CJ94" s="212">
        <f t="shared" si="642"/>
        <v>2.8190159999999995</v>
      </c>
      <c r="CK94" s="212">
        <f t="shared" si="642"/>
        <v>0.61585199999999996</v>
      </c>
      <c r="CN94" s="212">
        <f t="shared" ref="CN94:CT94" si="643">(CN58+CN59)*0.0036</f>
        <v>0.80571599999999999</v>
      </c>
      <c r="CO94" s="212">
        <f t="shared" si="643"/>
        <v>8.5306132800000007</v>
      </c>
      <c r="CP94" s="212">
        <f t="shared" si="643"/>
        <v>6.2536388399999998</v>
      </c>
      <c r="CQ94" s="212">
        <f t="shared" si="643"/>
        <v>7.1139959999999993</v>
      </c>
      <c r="CR94" s="212">
        <f t="shared" si="643"/>
        <v>4.6603295999999999</v>
      </c>
      <c r="CS94" s="212">
        <f t="shared" si="643"/>
        <v>1.1089296</v>
      </c>
      <c r="CT94" s="212">
        <f t="shared" si="643"/>
        <v>0.91129176000000001</v>
      </c>
      <c r="CW94" s="212">
        <f t="shared" ref="CW94:DC94" si="644">(CW58+CW59)*0.0036</f>
        <v>1.5792332399999998</v>
      </c>
      <c r="CX94" s="173">
        <f t="shared" si="644"/>
        <v>10.31066946</v>
      </c>
      <c r="CY94" s="173">
        <f t="shared" si="644"/>
        <v>8.53964532</v>
      </c>
      <c r="CZ94" s="173">
        <f t="shared" si="644"/>
        <v>9.1798473600000001</v>
      </c>
      <c r="DA94" s="173">
        <f t="shared" si="644"/>
        <v>7.2326721599999999</v>
      </c>
      <c r="DB94" s="173">
        <f t="shared" si="644"/>
        <v>3.1261201199999999</v>
      </c>
      <c r="DC94" s="213">
        <f t="shared" si="644"/>
        <v>1.33997112</v>
      </c>
      <c r="DF94" s="212">
        <f t="shared" ref="DF94:DL94" si="645">(DF58+DF59)*0.0036</f>
        <v>10.3991094</v>
      </c>
      <c r="DG94" s="173">
        <f>(DG58+DG59)*0.0036</f>
        <v>10.30108392</v>
      </c>
      <c r="DH94" s="173">
        <f t="shared" si="645"/>
        <v>10.19125944</v>
      </c>
      <c r="DI94" s="173">
        <f t="shared" si="645"/>
        <v>4.8908635199999999</v>
      </c>
      <c r="DJ94" s="173">
        <f t="shared" si="645"/>
        <v>0</v>
      </c>
      <c r="DK94" s="173">
        <f t="shared" si="645"/>
        <v>0</v>
      </c>
      <c r="DL94" s="213">
        <f t="shared" si="645"/>
        <v>0</v>
      </c>
      <c r="DO94" s="212">
        <f t="shared" ref="DO94" si="646">(DO58+DO59)*0.0036</f>
        <v>0</v>
      </c>
      <c r="DP94" s="173">
        <f>(DP58+DP59)*0.0036</f>
        <v>0</v>
      </c>
      <c r="DQ94" s="173">
        <f t="shared" ref="DQ94:DU94" si="647">(DQ58+DQ59)*0.0036</f>
        <v>0</v>
      </c>
      <c r="DR94" s="173">
        <f t="shared" si="647"/>
        <v>0</v>
      </c>
      <c r="DS94" s="173">
        <f t="shared" si="647"/>
        <v>4.3399403999999997</v>
      </c>
      <c r="DT94" s="173">
        <f t="shared" si="647"/>
        <v>6.2275143599999998</v>
      </c>
      <c r="DU94" s="213">
        <f t="shared" si="647"/>
        <v>3.42120348</v>
      </c>
      <c r="DX94" s="212">
        <f t="shared" ref="DX94" si="648">(DX58+DX59)*0.0036</f>
        <v>0.56069711999999994</v>
      </c>
      <c r="DY94" s="173">
        <f>(DY58+DY59)*0.0036</f>
        <v>0.31249403999999997</v>
      </c>
      <c r="DZ94" s="173">
        <f t="shared" ref="DZ94:ED94" si="649">(DZ58+DZ59)*0.0036</f>
        <v>1.3020353999999998</v>
      </c>
      <c r="EA94" s="173">
        <f t="shared" si="649"/>
        <v>4.438478879999999</v>
      </c>
      <c r="EB94" s="173">
        <f t="shared" si="649"/>
        <v>0</v>
      </c>
      <c r="EC94" s="173">
        <f t="shared" si="649"/>
        <v>0</v>
      </c>
      <c r="ED94" s="213">
        <f t="shared" si="649"/>
        <v>0</v>
      </c>
      <c r="EG94" s="212">
        <f t="shared" ref="EG94" si="650">(EG58+EG59)*0.0036</f>
        <v>0</v>
      </c>
      <c r="EH94" s="173">
        <f>(EH58+EH59)*0.0036</f>
        <v>0</v>
      </c>
      <c r="EI94" s="173">
        <f t="shared" ref="EI94:EM94" si="651">(EI58+EI59)*0.0036</f>
        <v>0</v>
      </c>
      <c r="EJ94" s="173">
        <f t="shared" si="651"/>
        <v>0</v>
      </c>
      <c r="EK94" s="173">
        <f t="shared" si="651"/>
        <v>0</v>
      </c>
      <c r="EL94" s="173">
        <f t="shared" si="651"/>
        <v>0</v>
      </c>
      <c r="EM94" s="213">
        <f t="shared" si="651"/>
        <v>0</v>
      </c>
      <c r="EN94"/>
      <c r="EP94" s="212">
        <f t="shared" ref="EP94" si="652">(EP58+EP59)*0.0036</f>
        <v>0</v>
      </c>
      <c r="EQ94" s="173">
        <f>(EQ58+EQ59)*0.0036</f>
        <v>0</v>
      </c>
      <c r="ER94" s="173">
        <f t="shared" ref="ER94:EV94" si="653">(ER58+ER59)*0.0036</f>
        <v>0</v>
      </c>
      <c r="ES94" s="173">
        <f t="shared" si="653"/>
        <v>0</v>
      </c>
      <c r="ET94" s="173">
        <f t="shared" si="653"/>
        <v>0</v>
      </c>
      <c r="EU94" s="173">
        <f t="shared" si="653"/>
        <v>0</v>
      </c>
      <c r="EV94" s="213">
        <f t="shared" si="653"/>
        <v>0</v>
      </c>
      <c r="EW94"/>
    </row>
    <row r="95" spans="2:153" ht="15.6" x14ac:dyDescent="0.3">
      <c r="C95" s="455" t="s">
        <v>282</v>
      </c>
      <c r="D95" s="147" t="s">
        <v>149</v>
      </c>
      <c r="CE95" s="212">
        <f t="shared" ref="CE95:CK95" si="654">CE84*0.036</f>
        <v>319.10399999999998</v>
      </c>
      <c r="CF95" s="212">
        <f t="shared" si="654"/>
        <v>237.70799999999997</v>
      </c>
      <c r="CG95" s="212">
        <f t="shared" si="654"/>
        <v>354.56399999999996</v>
      </c>
      <c r="CH95" s="212">
        <f t="shared" si="654"/>
        <v>241.2</v>
      </c>
      <c r="CI95" s="212">
        <f t="shared" si="654"/>
        <v>37.547999999999995</v>
      </c>
      <c r="CJ95" s="212">
        <f t="shared" si="654"/>
        <v>10.943999999999999</v>
      </c>
      <c r="CK95" s="212">
        <f t="shared" si="654"/>
        <v>0</v>
      </c>
      <c r="CN95" s="212">
        <f t="shared" ref="CN95:CT95" si="655">CN84*0.036</f>
        <v>38.628</v>
      </c>
      <c r="CO95" s="212">
        <f t="shared" si="655"/>
        <v>331.84799999999996</v>
      </c>
      <c r="CP95" s="212">
        <f t="shared" si="655"/>
        <v>376.38</v>
      </c>
      <c r="CQ95" s="212">
        <f t="shared" si="655"/>
        <v>299.73599999999999</v>
      </c>
      <c r="CR95" s="212">
        <f t="shared" si="655"/>
        <v>163.79999999999998</v>
      </c>
      <c r="CS95" s="212">
        <f t="shared" si="655"/>
        <v>6.1919999999999993</v>
      </c>
      <c r="CT95" s="212">
        <f t="shared" si="655"/>
        <v>13.823999999999998</v>
      </c>
      <c r="CW95" s="212">
        <f t="shared" ref="CW95:DC95" si="656">CW84*0.036</f>
        <v>372.05999999999995</v>
      </c>
      <c r="CX95" s="173">
        <f t="shared" si="656"/>
        <v>344.08799999999997</v>
      </c>
      <c r="CY95" s="173">
        <f t="shared" si="656"/>
        <v>318.31199999999995</v>
      </c>
      <c r="CZ95" s="173">
        <f t="shared" si="656"/>
        <v>312.76799999999997</v>
      </c>
      <c r="DA95" s="173">
        <f t="shared" si="656"/>
        <v>179.172</v>
      </c>
      <c r="DB95" s="173">
        <f t="shared" si="656"/>
        <v>36.396000000000001</v>
      </c>
      <c r="DC95" s="213">
        <f t="shared" si="656"/>
        <v>16.991999999999997</v>
      </c>
      <c r="DF95" s="212">
        <f t="shared" ref="DF95:DL95" si="657">DF84*0.036</f>
        <v>343.11599999999999</v>
      </c>
      <c r="DG95" s="173">
        <f>DG84*0.036</f>
        <v>280.548</v>
      </c>
      <c r="DH95" s="173">
        <f t="shared" si="657"/>
        <v>275.72399999999999</v>
      </c>
      <c r="DI95" s="173">
        <f t="shared" si="657"/>
        <v>105.55199999999999</v>
      </c>
      <c r="DJ95" s="173">
        <f t="shared" si="657"/>
        <v>0</v>
      </c>
      <c r="DK95" s="173">
        <f t="shared" si="657"/>
        <v>0</v>
      </c>
      <c r="DL95" s="213">
        <f t="shared" si="657"/>
        <v>0</v>
      </c>
      <c r="DO95" s="212">
        <f t="shared" ref="DO95" si="658">DO84*0.036</f>
        <v>0</v>
      </c>
      <c r="DP95" s="173">
        <f>DP84*0.036</f>
        <v>0</v>
      </c>
      <c r="DQ95" s="173">
        <f t="shared" ref="DQ95:DU95" si="659">DQ84*0.036</f>
        <v>0</v>
      </c>
      <c r="DR95" s="173">
        <f t="shared" si="659"/>
        <v>0</v>
      </c>
      <c r="DS95" s="173">
        <f t="shared" si="659"/>
        <v>35.776799999999994</v>
      </c>
      <c r="DT95" s="173">
        <f t="shared" si="659"/>
        <v>9.8279999999999994</v>
      </c>
      <c r="DU95" s="213">
        <f t="shared" si="659"/>
        <v>5.7239999999999993</v>
      </c>
      <c r="DX95" s="212">
        <f t="shared" ref="DX95" si="660">DX84*0.036</f>
        <v>6.3359999999999994</v>
      </c>
      <c r="DY95" s="173">
        <f>DY84*0.036</f>
        <v>34.185600000000001</v>
      </c>
      <c r="DZ95" s="173">
        <f t="shared" ref="DZ95:ED95" si="661">DZ84*0.036</f>
        <v>250.09199999999998</v>
      </c>
      <c r="EA95" s="173">
        <f t="shared" si="661"/>
        <v>340.59599999999995</v>
      </c>
      <c r="EB95" s="173">
        <f t="shared" si="661"/>
        <v>0</v>
      </c>
      <c r="EC95" s="173">
        <f t="shared" si="661"/>
        <v>0</v>
      </c>
      <c r="ED95" s="213">
        <f t="shared" si="661"/>
        <v>0</v>
      </c>
      <c r="EG95" s="212">
        <f t="shared" ref="EG95" si="662">EG84*0.036</f>
        <v>0</v>
      </c>
      <c r="EH95" s="173">
        <f>EH84*0.036</f>
        <v>0</v>
      </c>
      <c r="EI95" s="173">
        <f t="shared" ref="EI95:EM95" si="663">EI84*0.036</f>
        <v>0</v>
      </c>
      <c r="EJ95" s="173">
        <f t="shared" si="663"/>
        <v>0</v>
      </c>
      <c r="EK95" s="173">
        <f t="shared" si="663"/>
        <v>0</v>
      </c>
      <c r="EL95" s="173">
        <f t="shared" si="663"/>
        <v>0</v>
      </c>
      <c r="EM95" s="213">
        <f t="shared" si="663"/>
        <v>0</v>
      </c>
      <c r="EN95"/>
      <c r="EP95" s="212">
        <f t="shared" ref="EP95" si="664">EP84*0.036</f>
        <v>0</v>
      </c>
      <c r="EQ95" s="173">
        <f>EQ84*0.036</f>
        <v>0</v>
      </c>
      <c r="ER95" s="173">
        <f t="shared" ref="ER95:EV95" si="665">ER84*0.036</f>
        <v>0</v>
      </c>
      <c r="ES95" s="173">
        <f t="shared" si="665"/>
        <v>0</v>
      </c>
      <c r="ET95" s="173">
        <f t="shared" si="665"/>
        <v>0</v>
      </c>
      <c r="EU95" s="173">
        <f t="shared" si="665"/>
        <v>0</v>
      </c>
      <c r="EV95" s="213">
        <f t="shared" si="665"/>
        <v>0</v>
      </c>
      <c r="EW95"/>
    </row>
    <row r="96" spans="2:153" ht="16.2" thickBot="1" x14ac:dyDescent="0.35">
      <c r="C96" s="456" t="s">
        <v>283</v>
      </c>
      <c r="D96" s="457" t="s">
        <v>92</v>
      </c>
      <c r="CE96" s="409">
        <f t="shared" ref="CE96:CK96" si="666">CE86</f>
        <v>290</v>
      </c>
      <c r="CF96" s="409">
        <f t="shared" si="666"/>
        <v>270</v>
      </c>
      <c r="CG96" s="409">
        <f t="shared" si="666"/>
        <v>360</v>
      </c>
      <c r="CH96" s="409">
        <f t="shared" si="666"/>
        <v>320</v>
      </c>
      <c r="CI96" s="409">
        <f t="shared" si="666"/>
        <v>280</v>
      </c>
      <c r="CJ96" s="409">
        <f t="shared" si="666"/>
        <v>190</v>
      </c>
      <c r="CK96" s="409">
        <f t="shared" si="666"/>
        <v>100</v>
      </c>
      <c r="CN96" s="409">
        <f t="shared" ref="CN96:CT96" si="667">CN86</f>
        <v>0</v>
      </c>
      <c r="CO96" s="409">
        <f t="shared" si="667"/>
        <v>310</v>
      </c>
      <c r="CP96" s="409">
        <f t="shared" si="667"/>
        <v>104.45</v>
      </c>
      <c r="CQ96" s="409">
        <f t="shared" si="667"/>
        <v>360</v>
      </c>
      <c r="CR96" s="409">
        <f t="shared" si="667"/>
        <v>350</v>
      </c>
      <c r="CS96" s="409">
        <f t="shared" si="667"/>
        <v>240</v>
      </c>
      <c r="CT96" s="409">
        <f t="shared" si="667"/>
        <v>60</v>
      </c>
      <c r="CW96" s="409">
        <f t="shared" ref="CW96:DC96" si="668">CW86</f>
        <v>330</v>
      </c>
      <c r="CX96" s="242">
        <f t="shared" si="668"/>
        <v>440</v>
      </c>
      <c r="CY96" s="242">
        <f t="shared" si="668"/>
        <v>410</v>
      </c>
      <c r="CZ96" s="242">
        <f t="shared" si="668"/>
        <v>450</v>
      </c>
      <c r="DA96" s="242">
        <f t="shared" si="668"/>
        <v>450</v>
      </c>
      <c r="DB96" s="242">
        <f t="shared" si="668"/>
        <v>360</v>
      </c>
      <c r="DC96" s="243">
        <f t="shared" si="668"/>
        <v>130</v>
      </c>
      <c r="DF96" s="409">
        <f t="shared" ref="DF96:DL96" si="669">DF86</f>
        <v>330</v>
      </c>
      <c r="DG96" s="242">
        <f>DG86</f>
        <v>350</v>
      </c>
      <c r="DH96" s="242">
        <f t="shared" si="669"/>
        <v>0</v>
      </c>
      <c r="DI96" s="242">
        <f t="shared" si="669"/>
        <v>350</v>
      </c>
      <c r="DJ96" s="242">
        <f t="shared" si="669"/>
        <v>0</v>
      </c>
      <c r="DK96" s="242">
        <f t="shared" si="669"/>
        <v>0</v>
      </c>
      <c r="DL96" s="243">
        <f t="shared" si="669"/>
        <v>0</v>
      </c>
      <c r="DO96" s="409">
        <f t="shared" ref="DO96" si="670">DO86</f>
        <v>0</v>
      </c>
      <c r="DP96" s="242">
        <f>DP86</f>
        <v>0</v>
      </c>
      <c r="DQ96" s="242">
        <f t="shared" ref="DQ96:DU96" si="671">DQ86</f>
        <v>0</v>
      </c>
      <c r="DR96" s="242">
        <f t="shared" si="671"/>
        <v>0</v>
      </c>
      <c r="DS96" s="242">
        <f t="shared" si="671"/>
        <v>0</v>
      </c>
      <c r="DT96" s="242">
        <f t="shared" si="671"/>
        <v>720</v>
      </c>
      <c r="DU96" s="243">
        <f t="shared" si="671"/>
        <v>0</v>
      </c>
      <c r="DX96" s="409">
        <f t="shared" ref="DX96" si="672">DX86</f>
        <v>0</v>
      </c>
      <c r="DY96" s="242">
        <f>DY86</f>
        <v>330</v>
      </c>
      <c r="DZ96" s="242">
        <f t="shared" ref="DZ96:ED96" si="673">DZ86</f>
        <v>170</v>
      </c>
      <c r="EA96" s="242">
        <f t="shared" si="673"/>
        <v>270</v>
      </c>
      <c r="EB96" s="242">
        <f t="shared" si="673"/>
        <v>0</v>
      </c>
      <c r="EC96" s="242">
        <f t="shared" si="673"/>
        <v>0</v>
      </c>
      <c r="ED96" s="243">
        <f t="shared" si="673"/>
        <v>0</v>
      </c>
      <c r="EG96" s="409">
        <f t="shared" ref="EG96" si="674">EG86</f>
        <v>0</v>
      </c>
      <c r="EH96" s="242">
        <f>EH86</f>
        <v>0</v>
      </c>
      <c r="EI96" s="242">
        <f t="shared" ref="EI96:EM96" si="675">EI86</f>
        <v>0</v>
      </c>
      <c r="EJ96" s="242">
        <f t="shared" si="675"/>
        <v>0</v>
      </c>
      <c r="EK96" s="242">
        <f t="shared" si="675"/>
        <v>0</v>
      </c>
      <c r="EL96" s="242">
        <f t="shared" si="675"/>
        <v>0</v>
      </c>
      <c r="EM96" s="243">
        <f t="shared" si="675"/>
        <v>0</v>
      </c>
      <c r="EN96"/>
      <c r="EP96" s="409">
        <f t="shared" ref="EP96" si="676">EP86</f>
        <v>0</v>
      </c>
      <c r="EQ96" s="242">
        <f>EQ86</f>
        <v>0</v>
      </c>
      <c r="ER96" s="242">
        <f t="shared" ref="ER96:EV96" si="677">ER86</f>
        <v>0</v>
      </c>
      <c r="ES96" s="242">
        <f t="shared" si="677"/>
        <v>0</v>
      </c>
      <c r="ET96" s="242">
        <f t="shared" si="677"/>
        <v>0</v>
      </c>
      <c r="EU96" s="242">
        <f t="shared" si="677"/>
        <v>0</v>
      </c>
      <c r="EV96" s="243">
        <f t="shared" si="677"/>
        <v>0</v>
      </c>
      <c r="EW96"/>
    </row>
    <row r="97" spans="3:153" ht="15" thickBot="1" x14ac:dyDescent="0.35">
      <c r="EG97"/>
      <c r="EH97"/>
      <c r="EI97"/>
      <c r="EJ97"/>
      <c r="EK97"/>
      <c r="EL97"/>
      <c r="EM97"/>
      <c r="EN97"/>
      <c r="EP97"/>
      <c r="EQ97"/>
      <c r="ER97"/>
      <c r="ES97"/>
      <c r="ET97"/>
      <c r="EU97"/>
      <c r="EV97"/>
      <c r="EW97"/>
    </row>
    <row r="98" spans="3:153" ht="16.2" thickBot="1" x14ac:dyDescent="0.35">
      <c r="C98" s="807" t="s">
        <v>332</v>
      </c>
      <c r="D98" s="808"/>
      <c r="CE98" s="209"/>
      <c r="CF98" s="209"/>
      <c r="CG98" s="209"/>
      <c r="CH98" s="209"/>
      <c r="CI98" s="209"/>
      <c r="CJ98" s="209"/>
      <c r="CK98" s="209"/>
      <c r="CN98" s="209" t="e">
        <f t="shared" ref="CN98:CP98" si="678">CN99+CN100</f>
        <v>#DIV/0!</v>
      </c>
      <c r="CO98" s="209">
        <f t="shared" si="678"/>
        <v>7.6780472414342613</v>
      </c>
      <c r="CP98" s="209">
        <f t="shared" si="678"/>
        <v>6.8464108175771967</v>
      </c>
      <c r="CQ98" s="209">
        <f>CQ99+CQ100</f>
        <v>9.0438582504288156</v>
      </c>
      <c r="CR98" s="209">
        <f t="shared" ref="CR98:CT98" si="679">CR99+CR100</f>
        <v>12.657127193954658</v>
      </c>
      <c r="CS98" s="209">
        <f t="shared" si="679"/>
        <v>6.6820515376884408</v>
      </c>
      <c r="CT98" s="209">
        <f t="shared" si="679"/>
        <v>7.1464678964028785</v>
      </c>
      <c r="CW98" s="584">
        <f t="shared" ref="CW98:CX98" si="680">CW99+CW100</f>
        <v>7.0775467903614473</v>
      </c>
      <c r="CX98" s="584">
        <f t="shared" si="680"/>
        <v>7.2179690152980864</v>
      </c>
      <c r="CY98" s="584">
        <f t="shared" ref="CY98:CZ98" si="681">CY99+CY100</f>
        <v>6.5992098828947352</v>
      </c>
      <c r="CZ98" s="584">
        <f t="shared" si="681"/>
        <v>8.29776493255814</v>
      </c>
      <c r="DA98" s="584">
        <f t="shared" ref="DA98:DC98" si="682">DA99+DA100</f>
        <v>9.527692220689655</v>
      </c>
      <c r="DB98" s="584">
        <f t="shared" si="682"/>
        <v>7.5111808314049604</v>
      </c>
      <c r="DC98" s="584">
        <f t="shared" si="682"/>
        <v>12.966264088888888</v>
      </c>
      <c r="DF98" s="584">
        <f t="shared" ref="DF98:DL98" si="683">DF99+DF100</f>
        <v>8.0400467803603348</v>
      </c>
      <c r="DG98" s="584">
        <f t="shared" ref="DG98" si="684">DG99+DG100</f>
        <v>6.6771950999999996</v>
      </c>
      <c r="DH98" s="584">
        <f t="shared" si="683"/>
        <v>7.0079266326693226</v>
      </c>
      <c r="DI98" s="584">
        <f t="shared" si="683"/>
        <v>10.767621799209486</v>
      </c>
      <c r="DJ98" s="584" t="e">
        <f t="shared" si="683"/>
        <v>#DIV/0!</v>
      </c>
      <c r="DK98" s="584" t="e">
        <f t="shared" si="683"/>
        <v>#DIV/0!</v>
      </c>
      <c r="DL98" s="584" t="e">
        <f t="shared" si="683"/>
        <v>#DIV/0!</v>
      </c>
      <c r="DO98" s="584" t="e">
        <f t="shared" ref="DO98:DU98" si="685">DO99+DO100</f>
        <v>#DIV/0!</v>
      </c>
      <c r="DP98" s="584" t="e">
        <f t="shared" si="685"/>
        <v>#DIV/0!</v>
      </c>
      <c r="DQ98" s="584" t="e">
        <f t="shared" si="685"/>
        <v>#DIV/0!</v>
      </c>
      <c r="DR98" s="584" t="e">
        <f t="shared" si="685"/>
        <v>#DIV/0!</v>
      </c>
      <c r="DS98" s="584">
        <f t="shared" si="685"/>
        <v>2.5963943636363633</v>
      </c>
      <c r="DT98" s="584">
        <f>DT99+DT100</f>
        <v>2.7575742044117648</v>
      </c>
      <c r="DU98" s="584">
        <f t="shared" si="685"/>
        <v>2.1298293640552992</v>
      </c>
      <c r="DX98" s="584">
        <f>DX99+DX100</f>
        <v>3.2810102177142855</v>
      </c>
      <c r="DY98" s="584">
        <f t="shared" ref="DY98:ED98" si="686">DY99+DY100</f>
        <v>5.9450118092307696</v>
      </c>
      <c r="DZ98" s="584">
        <f t="shared" si="686"/>
        <v>3.7579377625899277</v>
      </c>
      <c r="EA98" s="584">
        <f t="shared" si="686"/>
        <v>24.800089341646405</v>
      </c>
      <c r="EB98" s="584">
        <f t="shared" si="686"/>
        <v>0</v>
      </c>
      <c r="EC98" s="584">
        <f t="shared" si="686"/>
        <v>0</v>
      </c>
      <c r="ED98" s="584">
        <f t="shared" si="686"/>
        <v>0</v>
      </c>
      <c r="EG98" s="584">
        <f>EG99+EG100</f>
        <v>0</v>
      </c>
      <c r="EH98" s="584">
        <f t="shared" ref="EH98:EM98" si="687">EH99+EH100</f>
        <v>0</v>
      </c>
      <c r="EI98" s="584">
        <f t="shared" si="687"/>
        <v>1.1728178956834532</v>
      </c>
      <c r="EJ98" s="584">
        <f t="shared" si="687"/>
        <v>0</v>
      </c>
      <c r="EK98" s="584">
        <f t="shared" si="687"/>
        <v>0</v>
      </c>
      <c r="EL98" s="584">
        <f t="shared" si="687"/>
        <v>0</v>
      </c>
      <c r="EM98" s="584">
        <f t="shared" si="687"/>
        <v>0</v>
      </c>
      <c r="EN98"/>
      <c r="EP98" s="584">
        <f>EP99+EP100</f>
        <v>3.0720288461538461</v>
      </c>
      <c r="EQ98" s="584">
        <f t="shared" ref="EQ98:EV98" si="688">EQ99+EQ100</f>
        <v>2.4453489425981871</v>
      </c>
      <c r="ER98" s="584">
        <f t="shared" si="688"/>
        <v>0.84079046762589926</v>
      </c>
      <c r="ES98" s="584">
        <f t="shared" si="688"/>
        <v>2.6818775316455694</v>
      </c>
      <c r="ET98" s="584">
        <f t="shared" si="688"/>
        <v>2.4194459302325582</v>
      </c>
      <c r="EU98" s="584">
        <f t="shared" si="688"/>
        <v>2.3606434729064039</v>
      </c>
      <c r="EV98" s="584">
        <f t="shared" si="688"/>
        <v>2.6594965170278639</v>
      </c>
      <c r="EW98"/>
    </row>
    <row r="99" spans="3:153" ht="16.2" thickBot="1" x14ac:dyDescent="0.35">
      <c r="C99" s="807" t="s">
        <v>284</v>
      </c>
      <c r="D99" s="808"/>
      <c r="CE99" s="209">
        <f t="shared" ref="CE99:CK99" si="689">(CE91/CE89+CE92/CE89+CE93/CE89+CE94/CE89)+CE95/CE89</f>
        <v>9.0149816655737709</v>
      </c>
      <c r="CF99" s="209">
        <f t="shared" si="689"/>
        <v>6.0027976014084512</v>
      </c>
      <c r="CG99" s="209">
        <f t="shared" si="689"/>
        <v>7.9542559846153846</v>
      </c>
      <c r="CH99" s="209">
        <f t="shared" si="689"/>
        <v>8.1307320266211605</v>
      </c>
      <c r="CI99" s="209">
        <f t="shared" si="689"/>
        <v>8.4694565217391293</v>
      </c>
      <c r="CJ99" s="209">
        <f t="shared" si="689"/>
        <v>8.0959470967741929</v>
      </c>
      <c r="CK99" s="209">
        <f t="shared" si="689"/>
        <v>4.6139769536423838</v>
      </c>
      <c r="CN99" s="209" t="e">
        <f>(CN91/CN89+CN92/CN89+CN93/CN89+CN94/CN89)+CN95/CN89</f>
        <v>#DIV/0!</v>
      </c>
      <c r="CO99" s="209">
        <f>(CO91/CO89+CO92/CO89+CO93/CO89+CO94/CO89)</f>
        <v>3.2710352892430272</v>
      </c>
      <c r="CP99" s="209">
        <f>(CP91/CP89+CP92/CP89+CP93/CP89+CP94/CP89)</f>
        <v>2.3763395586698337</v>
      </c>
      <c r="CQ99" s="209">
        <f>(CQ91/CQ89+CQ92/CQ89+CQ93/CQ89+CQ94/CQ89)</f>
        <v>3.9025889536878218</v>
      </c>
      <c r="CR99" s="209">
        <f>(CR91/CR89+CR92/CR89+CR93/CR89+CR94/CR89)+CR95/CR89</f>
        <v>8.5311826095717862</v>
      </c>
      <c r="CS99" s="209">
        <f>(CS91/CS89+CS92/CS89+CS93/CS89+CS94/CS89)+CS95/CS89</f>
        <v>6.370895758793969</v>
      </c>
      <c r="CT99" s="209">
        <f>(CT91/CT89+CT92/CT89+CT93/CT89+CT94/CT89)+CT95/CT89</f>
        <v>6.1519355223021588</v>
      </c>
      <c r="CW99" s="585">
        <f>(CW91/CW89+CW92/CW89+CW93/CW89+CW94/CW89)</f>
        <v>2.0968238987951815</v>
      </c>
      <c r="CX99" s="585">
        <f>(CX91/CX89+CX92/CX89+CX93/CX89+CX94/CX89)</f>
        <v>3.3474628285714281</v>
      </c>
      <c r="CY99" s="585">
        <f>(CY91/CY89+CY92/CY89+CY93/CY89+CY94/CY89)</f>
        <v>3.1089467249999996</v>
      </c>
      <c r="CZ99" s="585">
        <f>(CZ91/CZ89+CZ92/CZ89+CZ93/CZ89+CZ94/CZ89)</f>
        <v>3.7517184209302328</v>
      </c>
      <c r="DA99" s="585">
        <f t="shared" ref="DA99:DC99" si="690">(DA91/DA89+DA92/DA89+DA93/DA89+DA94/DA89)</f>
        <v>5.1145887724137928</v>
      </c>
      <c r="DB99" s="585">
        <f t="shared" si="690"/>
        <v>6.0072138892561995</v>
      </c>
      <c r="DC99" s="585">
        <f t="shared" si="690"/>
        <v>10.868486311111111</v>
      </c>
      <c r="DF99" s="585">
        <f>(DF91/DF89+DF92/DF89+DF93/DF89+DF94/DF89)</f>
        <v>3.3210810259936729</v>
      </c>
      <c r="DG99" s="585">
        <f>(DG91/DG89+DG92/DG89+DG93/DG89+DG94/DG89)</f>
        <v>3.1349223727272726</v>
      </c>
      <c r="DH99" s="585">
        <f>(DH91/DH89+DH92/DH89+DH93/DH89+DH94/DH89)</f>
        <v>3.3462533258964142</v>
      </c>
      <c r="DI99" s="585">
        <f>(DI91/DI89+DI92/DI89+DI93/DI89+DI94/DI89)</f>
        <v>6.5956059889328067</v>
      </c>
      <c r="DJ99" s="585" t="e">
        <f t="shared" ref="DJ99:DL99" si="691">(DJ91/DJ89+DJ92/DJ89+DJ93/DJ89+DJ94/DJ89)</f>
        <v>#DIV/0!</v>
      </c>
      <c r="DK99" s="585" t="e">
        <f t="shared" si="691"/>
        <v>#DIV/0!</v>
      </c>
      <c r="DL99" s="585" t="e">
        <f t="shared" si="691"/>
        <v>#DIV/0!</v>
      </c>
      <c r="DO99" s="585" t="e">
        <f>(DO91/DO89+DO92/DO89+DO93/DO89+DO94/DO89)</f>
        <v>#DIV/0!</v>
      </c>
      <c r="DP99" s="585" t="e">
        <f>(DP91/DP89+DP92/DP89+DP93/DP89+DP94/DP89)</f>
        <v>#DIV/0!</v>
      </c>
      <c r="DQ99" s="585" t="e">
        <f>(DQ91/DQ89+DQ92/DQ89+DQ93/DQ89+DQ94/DQ89)</f>
        <v>#DIV/0!</v>
      </c>
      <c r="DR99" s="585" t="e">
        <f>(DR91/DR89+DR92/DR89+DR93/DR89+DR94/DR89)</f>
        <v>#DIV/0!</v>
      </c>
      <c r="DS99" s="585">
        <f t="shared" ref="DS99:DU99" si="692">(DS91/DS89+DS92/DS89+DS93/DS89+DS94/DS89)</f>
        <v>0.78948527272727276</v>
      </c>
      <c r="DT99" s="585">
        <f>(DT91/DT89+DT92/DT89+DT93/DT89+DT94/DT89)</f>
        <v>2.3962506750000001</v>
      </c>
      <c r="DU99" s="585">
        <f t="shared" si="692"/>
        <v>1.8367418064516128</v>
      </c>
      <c r="DX99" s="585">
        <f>IF(ISNUMBER(DX89), IF(DX89&gt;0, (DX91/DX89+DX92/DX89+DX93/DX89+DX94/DX89),),)</f>
        <v>3.0999816462857139</v>
      </c>
      <c r="DY99" s="585">
        <f t="shared" ref="DY99:ED99" si="693">IF(ISNUMBER(DY89), IF(DY89&gt;0, (DY91/DY89+DY92/DY89+DY93/DY89+DY94/DY89),),)</f>
        <v>4.6301810400000001</v>
      </c>
      <c r="DZ99" s="585">
        <f t="shared" si="693"/>
        <v>0.759232726618705</v>
      </c>
      <c r="EA99" s="585">
        <f t="shared" si="693"/>
        <v>6.8038936320405785</v>
      </c>
      <c r="EB99" s="585">
        <f t="shared" si="693"/>
        <v>0</v>
      </c>
      <c r="EC99" s="585">
        <f t="shared" si="693"/>
        <v>0</v>
      </c>
      <c r="ED99" s="585">
        <f t="shared" si="693"/>
        <v>0</v>
      </c>
      <c r="EG99" s="585">
        <f>IF(ISNUMBER(EG89), IF(EG89&gt;0, (EG91/EG89+EG92/EG89+EG93/EG89+EG94/EG89),),)</f>
        <v>0</v>
      </c>
      <c r="EH99" s="585">
        <f t="shared" ref="EH99:EM99" si="694">IF(ISNUMBER(EH89), IF(EH89&gt;0, (EH91/EH89+EH92/EH89+EH93/EH89+EH94/EH89),),)</f>
        <v>0</v>
      </c>
      <c r="EI99" s="585">
        <f t="shared" si="694"/>
        <v>1.1728178956834532</v>
      </c>
      <c r="EJ99" s="585">
        <f t="shared" si="694"/>
        <v>0</v>
      </c>
      <c r="EK99" s="585">
        <f t="shared" si="694"/>
        <v>0</v>
      </c>
      <c r="EL99" s="585">
        <f t="shared" si="694"/>
        <v>0</v>
      </c>
      <c r="EM99" s="585">
        <f t="shared" si="694"/>
        <v>0</v>
      </c>
      <c r="EN99"/>
      <c r="EP99" s="585">
        <f>IF(ISNUMBER(EP89), IF(EP89&gt;0, (EP91/EP89+EP92/EP89+EP93/EP89+EP94/EP89),),)</f>
        <v>3.0720288461538461</v>
      </c>
      <c r="EQ99" s="585">
        <f t="shared" ref="EQ99:EV99" si="695">IF(ISNUMBER(EQ89), IF(EQ89&gt;0, (EQ91/EQ89+EQ92/EQ89+EQ93/EQ89+EQ94/EQ89),),)</f>
        <v>2.4453489425981871</v>
      </c>
      <c r="ER99" s="585">
        <f t="shared" si="695"/>
        <v>0.84079046762589926</v>
      </c>
      <c r="ES99" s="585">
        <f t="shared" si="695"/>
        <v>2.6818775316455694</v>
      </c>
      <c r="ET99" s="585">
        <f t="shared" si="695"/>
        <v>2.4194459302325582</v>
      </c>
      <c r="EU99" s="585">
        <f t="shared" si="695"/>
        <v>2.3606434729064039</v>
      </c>
      <c r="EV99" s="585">
        <f t="shared" si="695"/>
        <v>2.6594965170278639</v>
      </c>
      <c r="EW99"/>
    </row>
    <row r="100" spans="3:153" ht="16.2" thickBot="1" x14ac:dyDescent="0.35">
      <c r="C100" s="805" t="s">
        <v>329</v>
      </c>
      <c r="D100" s="806"/>
      <c r="CE100" s="540"/>
      <c r="CF100" s="540"/>
      <c r="CG100" s="540"/>
      <c r="CH100" s="540"/>
      <c r="CI100" s="540"/>
      <c r="CJ100" s="540"/>
      <c r="CK100" s="540"/>
      <c r="CN100" s="540" t="e">
        <f t="shared" ref="CN100:CT100" si="696">CN95/CN89</f>
        <v>#DIV/0!</v>
      </c>
      <c r="CO100" s="540">
        <f t="shared" si="696"/>
        <v>4.4070119521912341</v>
      </c>
      <c r="CP100" s="540">
        <f t="shared" si="696"/>
        <v>4.470071258907363</v>
      </c>
      <c r="CQ100" s="540">
        <f t="shared" si="696"/>
        <v>5.1412692967409948</v>
      </c>
      <c r="CR100" s="540">
        <f t="shared" si="696"/>
        <v>4.1259445843828706</v>
      </c>
      <c r="CS100" s="540">
        <f t="shared" si="696"/>
        <v>0.31115577889447232</v>
      </c>
      <c r="CT100" s="540">
        <f t="shared" si="696"/>
        <v>0.99453237410071926</v>
      </c>
      <c r="CW100" s="585">
        <f>CW95/CW89</f>
        <v>4.9807228915662654</v>
      </c>
      <c r="CX100" s="585">
        <f>CX95/CX89</f>
        <v>3.8705061867266584</v>
      </c>
      <c r="CY100" s="585">
        <f>CY95/CY89</f>
        <v>3.4902631578947361</v>
      </c>
      <c r="CZ100" s="585">
        <f>CZ95/CZ89</f>
        <v>4.5460465116279067</v>
      </c>
      <c r="DA100" s="585">
        <f t="shared" ref="DA100:DC100" si="697">DA95/DA89</f>
        <v>4.4131034482758622</v>
      </c>
      <c r="DB100" s="585">
        <f t="shared" si="697"/>
        <v>1.5039669421487605</v>
      </c>
      <c r="DC100" s="585">
        <f t="shared" si="697"/>
        <v>2.0977777777777775</v>
      </c>
      <c r="DF100" s="585">
        <f>DF95/DF89</f>
        <v>4.7189657543666614</v>
      </c>
      <c r="DG100" s="585">
        <f>DG95/DG89</f>
        <v>3.542272727272727</v>
      </c>
      <c r="DH100" s="585">
        <f>DH95/DH89</f>
        <v>3.6616733067729084</v>
      </c>
      <c r="DI100" s="585">
        <f>DI95/DI89</f>
        <v>4.1720158102766796</v>
      </c>
      <c r="DJ100" s="585" t="e">
        <f t="shared" ref="DJ100:DL100" si="698">DJ95/DJ89</f>
        <v>#DIV/0!</v>
      </c>
      <c r="DK100" s="585" t="e">
        <f t="shared" si="698"/>
        <v>#DIV/0!</v>
      </c>
      <c r="DL100" s="585" t="e">
        <f t="shared" si="698"/>
        <v>#DIV/0!</v>
      </c>
      <c r="DO100" s="585" t="e">
        <f>DO95/DO89</f>
        <v>#DIV/0!</v>
      </c>
      <c r="DP100" s="585" t="e">
        <f>DP95/DP89</f>
        <v>#DIV/0!</v>
      </c>
      <c r="DQ100" s="585" t="e">
        <f>DQ95/DQ89</f>
        <v>#DIV/0!</v>
      </c>
      <c r="DR100" s="585" t="e">
        <f>DR95/DR89</f>
        <v>#DIV/0!</v>
      </c>
      <c r="DS100" s="585">
        <f t="shared" ref="DS100:DU100" si="699">DS95/DS89</f>
        <v>1.8069090909090906</v>
      </c>
      <c r="DT100" s="585">
        <f t="shared" si="699"/>
        <v>0.36132352941176471</v>
      </c>
      <c r="DU100" s="585">
        <f t="shared" si="699"/>
        <v>0.2930875576036866</v>
      </c>
      <c r="DX100" s="585">
        <f>IF(ISNUMBER(DX89), IF(DX89&gt;0,DX95/DX89,),)</f>
        <v>0.1810285714285714</v>
      </c>
      <c r="DY100" s="585">
        <f t="shared" ref="DY100:ED100" si="700">IF(ISNUMBER(DY89), IF(DY89&gt;0,DY95/DY89,),)</f>
        <v>1.3148307692307692</v>
      </c>
      <c r="DZ100" s="585">
        <f t="shared" si="700"/>
        <v>2.9987050359712226</v>
      </c>
      <c r="EA100" s="585">
        <f t="shared" si="700"/>
        <v>17.996195709605828</v>
      </c>
      <c r="EB100" s="585">
        <f t="shared" si="700"/>
        <v>0</v>
      </c>
      <c r="EC100" s="585">
        <f t="shared" si="700"/>
        <v>0</v>
      </c>
      <c r="ED100" s="585">
        <f t="shared" si="700"/>
        <v>0</v>
      </c>
      <c r="EG100" s="585">
        <f>IF(ISNUMBER(EG89), IF(EG89&gt;0,EG95/EG89,),)</f>
        <v>0</v>
      </c>
      <c r="EH100" s="585">
        <f t="shared" ref="EH100:EM100" si="701">IF(ISNUMBER(EH89), IF(EH89&gt;0,EH95/EH89,),)</f>
        <v>0</v>
      </c>
      <c r="EI100" s="585">
        <f t="shared" si="701"/>
        <v>0</v>
      </c>
      <c r="EJ100" s="585">
        <f t="shared" si="701"/>
        <v>0</v>
      </c>
      <c r="EK100" s="585">
        <f t="shared" si="701"/>
        <v>0</v>
      </c>
      <c r="EL100" s="585">
        <f t="shared" si="701"/>
        <v>0</v>
      </c>
      <c r="EM100" s="585">
        <f t="shared" si="701"/>
        <v>0</v>
      </c>
      <c r="EN100"/>
      <c r="EP100" s="585">
        <f>IF(ISNUMBER(EP89), IF(EP89&gt;0,EP95/EP89,),)</f>
        <v>0</v>
      </c>
      <c r="EQ100" s="585">
        <f t="shared" ref="EQ100:EV100" si="702">IF(ISNUMBER(EQ89), IF(EQ89&gt;0,EQ95/EQ89,),)</f>
        <v>0</v>
      </c>
      <c r="ER100" s="585">
        <f t="shared" si="702"/>
        <v>0</v>
      </c>
      <c r="ES100" s="585">
        <f t="shared" si="702"/>
        <v>0</v>
      </c>
      <c r="ET100" s="585">
        <f t="shared" si="702"/>
        <v>0</v>
      </c>
      <c r="EU100" s="585">
        <f t="shared" si="702"/>
        <v>0</v>
      </c>
      <c r="EV100" s="585">
        <f t="shared" si="702"/>
        <v>0</v>
      </c>
      <c r="EW100"/>
    </row>
    <row r="101" spans="3:153" ht="16.2" thickBot="1" x14ac:dyDescent="0.35">
      <c r="C101" s="805" t="s">
        <v>237</v>
      </c>
      <c r="D101" s="806"/>
      <c r="CE101" s="409">
        <f t="shared" ref="CE101:CK101" si="703">CE96/CE89</f>
        <v>5.9426229508196728</v>
      </c>
      <c r="CF101" s="409">
        <f t="shared" si="703"/>
        <v>3.1690140845070425</v>
      </c>
      <c r="CG101" s="409">
        <f t="shared" si="703"/>
        <v>4.615384615384615</v>
      </c>
      <c r="CH101" s="409">
        <f t="shared" si="703"/>
        <v>5.4607508532423212</v>
      </c>
      <c r="CI101" s="409">
        <f t="shared" si="703"/>
        <v>10.144927536231883</v>
      </c>
      <c r="CJ101" s="409">
        <f t="shared" si="703"/>
        <v>10.21505376344086</v>
      </c>
      <c r="CK101" s="409">
        <f t="shared" si="703"/>
        <v>6.6225165562913908</v>
      </c>
      <c r="CN101" s="409" t="e">
        <f t="shared" ref="CN101:CT101" si="704">CN96/CN89</f>
        <v>#DIV/0!</v>
      </c>
      <c r="CO101" s="409">
        <f t="shared" si="704"/>
        <v>4.1168658698539167</v>
      </c>
      <c r="CP101" s="409">
        <f t="shared" si="704"/>
        <v>1.2404988123515439</v>
      </c>
      <c r="CQ101" s="409">
        <f t="shared" si="704"/>
        <v>6.1749571183533449</v>
      </c>
      <c r="CR101" s="409">
        <f t="shared" si="704"/>
        <v>8.8161209068010074</v>
      </c>
      <c r="CS101" s="409">
        <f t="shared" si="704"/>
        <v>12.060301507537689</v>
      </c>
      <c r="CT101" s="409">
        <f t="shared" si="704"/>
        <v>4.3165467625899279</v>
      </c>
      <c r="CW101" s="586">
        <f>CW96/CW89</f>
        <v>4.4176706827309244</v>
      </c>
      <c r="CX101" s="586">
        <f>CX96/CX89</f>
        <v>4.9493813273340832</v>
      </c>
      <c r="CY101" s="586">
        <f>CY96/CY89</f>
        <v>4.4956140350877192</v>
      </c>
      <c r="CZ101" s="586">
        <f>CZ96/CZ89</f>
        <v>6.5406976744186052</v>
      </c>
      <c r="DA101" s="586">
        <f t="shared" ref="DA101:DC101" si="705">DA96/DA89</f>
        <v>11.083743842364532</v>
      </c>
      <c r="DB101" s="586">
        <f t="shared" si="705"/>
        <v>14.87603305785124</v>
      </c>
      <c r="DC101" s="586">
        <f t="shared" si="705"/>
        <v>16.049382716049383</v>
      </c>
      <c r="DF101" s="586">
        <f>DF96/DF89</f>
        <v>4.5385779122541603</v>
      </c>
      <c r="DG101" s="586">
        <f>DG96/DG89</f>
        <v>4.4191919191919187</v>
      </c>
      <c r="DH101" s="586">
        <f t="shared" ref="DH101:DI101" si="706">DH96/DH89</f>
        <v>0</v>
      </c>
      <c r="DI101" s="586">
        <f t="shared" si="706"/>
        <v>13.83399209486166</v>
      </c>
      <c r="DJ101" s="586" t="e">
        <f t="shared" ref="DJ101:DL101" si="707">DJ96/DJ89</f>
        <v>#DIV/0!</v>
      </c>
      <c r="DK101" s="586" t="e">
        <f t="shared" si="707"/>
        <v>#DIV/0!</v>
      </c>
      <c r="DL101" s="586" t="e">
        <f t="shared" si="707"/>
        <v>#DIV/0!</v>
      </c>
      <c r="DO101" s="586" t="e">
        <f>DO96/DO89</f>
        <v>#DIV/0!</v>
      </c>
      <c r="DP101" s="586" t="e">
        <f>DP96/DP89</f>
        <v>#DIV/0!</v>
      </c>
      <c r="DQ101" s="586" t="e">
        <f t="shared" ref="DQ101:DU101" si="708">DQ96/DQ89</f>
        <v>#DIV/0!</v>
      </c>
      <c r="DR101" s="586" t="e">
        <f t="shared" si="708"/>
        <v>#DIV/0!</v>
      </c>
      <c r="DS101" s="586">
        <f t="shared" si="708"/>
        <v>0</v>
      </c>
      <c r="DT101" s="586">
        <f>DT96/DT89</f>
        <v>26.47058823529412</v>
      </c>
      <c r="DU101" s="586">
        <f t="shared" si="708"/>
        <v>0</v>
      </c>
      <c r="DX101" s="586">
        <f>IF(ISNUMBER(DX89), IF(DX89&gt;0,DX96/DX89,),)</f>
        <v>0</v>
      </c>
      <c r="DY101" s="586">
        <f t="shared" ref="DY101:ED101" si="709">IF(ISNUMBER(DY89), IF(DY89&gt;0,DY96/DY89,),)</f>
        <v>12.692307692307692</v>
      </c>
      <c r="DZ101" s="586">
        <f t="shared" si="709"/>
        <v>2.0383693045563547</v>
      </c>
      <c r="EA101" s="586">
        <f t="shared" si="709"/>
        <v>14.266088978125328</v>
      </c>
      <c r="EB101" s="586">
        <f t="shared" si="709"/>
        <v>0</v>
      </c>
      <c r="EC101" s="586">
        <f t="shared" si="709"/>
        <v>0</v>
      </c>
      <c r="ED101" s="586">
        <f t="shared" si="709"/>
        <v>0</v>
      </c>
      <c r="EG101" s="586">
        <f>IF(ISNUMBER(EG89), IF(EG89&gt;0,EG96/EG89,),)</f>
        <v>0</v>
      </c>
      <c r="EH101" s="586">
        <f t="shared" ref="EH101:EM101" si="710">IF(ISNUMBER(EH89), IF(EH89&gt;0,EH96/EH89,),)</f>
        <v>0</v>
      </c>
      <c r="EI101" s="586">
        <f t="shared" si="710"/>
        <v>0</v>
      </c>
      <c r="EJ101" s="586">
        <f t="shared" si="710"/>
        <v>0</v>
      </c>
      <c r="EK101" s="586">
        <f t="shared" si="710"/>
        <v>0</v>
      </c>
      <c r="EL101" s="586">
        <f t="shared" si="710"/>
        <v>0</v>
      </c>
      <c r="EM101" s="586">
        <f t="shared" si="710"/>
        <v>0</v>
      </c>
      <c r="EN101"/>
      <c r="EP101" s="586">
        <f>IF(ISNUMBER(EP89), IF(EP89&gt;0,EP96/EP89,),)</f>
        <v>0</v>
      </c>
      <c r="EQ101" s="586">
        <f t="shared" ref="EQ101:EV101" si="711">IF(ISNUMBER(EQ89), IF(EQ89&gt;0,EQ96/EQ89,),)</f>
        <v>0</v>
      </c>
      <c r="ER101" s="586">
        <f t="shared" si="711"/>
        <v>0</v>
      </c>
      <c r="ES101" s="586">
        <f t="shared" si="711"/>
        <v>0</v>
      </c>
      <c r="ET101" s="586">
        <f t="shared" si="711"/>
        <v>0</v>
      </c>
      <c r="EU101" s="586">
        <f t="shared" si="711"/>
        <v>0</v>
      </c>
      <c r="EV101" s="586">
        <f t="shared" si="711"/>
        <v>0</v>
      </c>
      <c r="EW101"/>
    </row>
    <row r="102" spans="3:153" ht="15" thickBot="1" x14ac:dyDescent="0.35">
      <c r="EG102"/>
      <c r="EH102"/>
      <c r="EI102"/>
      <c r="EJ102"/>
      <c r="EK102"/>
      <c r="EL102"/>
      <c r="EM102"/>
      <c r="EN102"/>
      <c r="EP102"/>
      <c r="EQ102"/>
      <c r="ER102"/>
      <c r="ES102"/>
      <c r="ET102"/>
      <c r="EU102"/>
      <c r="EV102"/>
      <c r="EW102"/>
    </row>
    <row r="103" spans="3:153" ht="15.75" customHeight="1" outlineLevel="1" thickBot="1" x14ac:dyDescent="0.35">
      <c r="C103" s="565" t="s">
        <v>33</v>
      </c>
      <c r="D103" s="566"/>
      <c r="E103" s="566"/>
      <c r="F103" s="567"/>
      <c r="G103" s="568"/>
      <c r="BM103" s="558"/>
      <c r="BN103" s="556"/>
      <c r="BO103" s="556"/>
      <c r="BP103" s="556"/>
      <c r="BQ103" s="556"/>
      <c r="BR103" s="556"/>
      <c r="BS103" s="557"/>
      <c r="BV103" s="558"/>
      <c r="BW103" s="556"/>
      <c r="BX103" s="556"/>
      <c r="BY103" s="556"/>
      <c r="BZ103" s="556"/>
      <c r="CA103" s="556"/>
      <c r="CB103" s="557"/>
      <c r="CE103" s="555"/>
      <c r="CF103" s="556"/>
      <c r="CG103" s="556"/>
      <c r="CH103" s="556"/>
      <c r="CI103" s="556"/>
      <c r="CJ103" s="556"/>
      <c r="CK103" s="557"/>
      <c r="CN103" s="555"/>
      <c r="CO103" s="556"/>
      <c r="CP103" s="556"/>
      <c r="CQ103" s="556"/>
      <c r="CR103" s="556"/>
      <c r="CS103" s="556"/>
      <c r="CT103" s="557"/>
      <c r="CW103" s="558"/>
      <c r="CX103" s="556"/>
      <c r="CY103" s="556"/>
      <c r="CZ103" s="556"/>
      <c r="DA103" s="556"/>
      <c r="DB103" s="556"/>
      <c r="DC103" s="557"/>
      <c r="DF103" s="558"/>
      <c r="DG103" s="556"/>
      <c r="DH103" s="556"/>
      <c r="DI103" s="556"/>
      <c r="DJ103" s="556"/>
      <c r="DK103" s="556"/>
      <c r="DL103" s="557"/>
      <c r="DO103" s="558"/>
      <c r="DP103" s="556"/>
      <c r="DQ103" s="556"/>
      <c r="DR103" s="556"/>
      <c r="DS103" s="556"/>
      <c r="DT103" s="556"/>
      <c r="DU103" s="557"/>
      <c r="DX103" s="558"/>
      <c r="DY103" s="556"/>
      <c r="DZ103" s="556"/>
      <c r="EA103" s="556"/>
      <c r="EB103" s="556"/>
      <c r="EC103" s="556"/>
      <c r="ED103" s="557"/>
      <c r="EG103" s="558"/>
      <c r="EH103" s="556"/>
      <c r="EI103" s="556"/>
      <c r="EJ103" s="556"/>
      <c r="EK103" s="556"/>
      <c r="EL103" s="556"/>
      <c r="EM103" s="557"/>
      <c r="EN103"/>
      <c r="EP103" s="558"/>
      <c r="EQ103" s="556"/>
      <c r="ER103" s="556"/>
      <c r="ES103" s="556"/>
      <c r="ET103" s="556"/>
      <c r="EU103" s="556"/>
      <c r="EV103" s="557"/>
      <c r="EW103"/>
    </row>
    <row r="104" spans="3:153" ht="15.75" customHeight="1" outlineLevel="1" x14ac:dyDescent="0.3">
      <c r="C104" s="605" t="s">
        <v>336</v>
      </c>
      <c r="D104" s="569" t="s">
        <v>36</v>
      </c>
      <c r="E104" s="570"/>
      <c r="F104" s="55"/>
      <c r="G104" s="56" t="s">
        <v>37</v>
      </c>
      <c r="BM104" s="59">
        <f t="shared" ref="BM104:BS104" si="712">BM5+BM23</f>
        <v>19459.620000000003</v>
      </c>
      <c r="BN104" s="59">
        <f t="shared" si="712"/>
        <v>25576.45</v>
      </c>
      <c r="BO104" s="59">
        <f t="shared" si="712"/>
        <v>23493.1</v>
      </c>
      <c r="BP104" s="59">
        <f t="shared" si="712"/>
        <v>20848.55</v>
      </c>
      <c r="BQ104" s="59">
        <f t="shared" si="712"/>
        <v>17895.260000000002</v>
      </c>
      <c r="BR104" s="59">
        <f t="shared" si="712"/>
        <v>10780.11</v>
      </c>
      <c r="BS104" s="259">
        <f t="shared" si="712"/>
        <v>6111.85</v>
      </c>
      <c r="BT104" s="253"/>
      <c r="BV104" s="59">
        <f t="shared" ref="BV104:CB104" si="713">BV5+BV23</f>
        <v>14245.6</v>
      </c>
      <c r="BW104" s="59">
        <f t="shared" si="713"/>
        <v>13034.42</v>
      </c>
      <c r="BX104" s="59">
        <f t="shared" si="713"/>
        <v>26491.33</v>
      </c>
      <c r="BY104" s="59">
        <f t="shared" si="713"/>
        <v>19838.89</v>
      </c>
      <c r="BZ104" s="59">
        <f t="shared" si="713"/>
        <v>15850.029999999999</v>
      </c>
      <c r="CA104" s="59">
        <f t="shared" si="713"/>
        <v>8981.2999999999993</v>
      </c>
      <c r="CB104" s="259">
        <f t="shared" si="713"/>
        <v>5833.1900000000005</v>
      </c>
      <c r="CC104" s="253"/>
      <c r="CE104" s="59">
        <f t="shared" ref="CE104:CK104" si="714">CE5+CE23</f>
        <v>9654.07</v>
      </c>
      <c r="CF104" s="59">
        <f t="shared" si="714"/>
        <v>25960.11</v>
      </c>
      <c r="CG104" s="59">
        <f t="shared" si="714"/>
        <v>23580.879999999997</v>
      </c>
      <c r="CH104" s="59">
        <f t="shared" si="714"/>
        <v>20539.379999999997</v>
      </c>
      <c r="CI104" s="59">
        <f t="shared" si="714"/>
        <v>16827</v>
      </c>
      <c r="CJ104" s="59">
        <f t="shared" si="714"/>
        <v>11019</v>
      </c>
      <c r="CK104" s="259">
        <f t="shared" si="714"/>
        <v>8239</v>
      </c>
      <c r="CL104" s="253"/>
      <c r="CN104" s="59">
        <f t="shared" ref="CN104:CT104" si="715">CN5+CN23</f>
        <v>6212</v>
      </c>
      <c r="CO104" s="59">
        <f t="shared" si="715"/>
        <v>22543.89</v>
      </c>
      <c r="CP104" s="59">
        <f t="shared" si="715"/>
        <v>14511.26</v>
      </c>
      <c r="CQ104" s="59">
        <f t="shared" si="715"/>
        <v>21470.58</v>
      </c>
      <c r="CR104" s="59">
        <f t="shared" si="715"/>
        <v>16022.16</v>
      </c>
      <c r="CS104" s="59">
        <f t="shared" si="715"/>
        <v>10967.35</v>
      </c>
      <c r="CT104" s="259">
        <f t="shared" si="715"/>
        <v>7334.5400000000009</v>
      </c>
      <c r="CU104" s="253"/>
      <c r="CW104" s="59">
        <f t="shared" ref="CW104:DC104" si="716">CW5+CW23</f>
        <v>12678.06</v>
      </c>
      <c r="CX104" s="59">
        <f t="shared" si="716"/>
        <v>25550.639999999999</v>
      </c>
      <c r="CY104" s="59">
        <f t="shared" si="716"/>
        <v>26469.769999999997</v>
      </c>
      <c r="CZ104" s="59">
        <f t="shared" si="716"/>
        <v>23535.989999999998</v>
      </c>
      <c r="DA104" s="59">
        <f t="shared" si="716"/>
        <v>17932.96</v>
      </c>
      <c r="DB104" s="59">
        <f t="shared" si="716"/>
        <v>11429.42</v>
      </c>
      <c r="DC104" s="259">
        <f t="shared" si="716"/>
        <v>7218.26</v>
      </c>
      <c r="DD104" s="253"/>
      <c r="DF104" s="59">
        <f>DF5+DF23</f>
        <v>22544.489999999998</v>
      </c>
      <c r="DG104" s="59">
        <f t="shared" ref="DG104:DL104" si="717">DG5+DG23</f>
        <v>24399.089999999997</v>
      </c>
      <c r="DH104" s="59">
        <f t="shared" si="717"/>
        <v>23877.23</v>
      </c>
      <c r="DI104" s="59">
        <f t="shared" si="717"/>
        <v>14958.98</v>
      </c>
      <c r="DJ104" s="59">
        <f t="shared" si="717"/>
        <v>0</v>
      </c>
      <c r="DK104" s="59">
        <f t="shared" si="717"/>
        <v>0</v>
      </c>
      <c r="DL104" s="259">
        <f t="shared" si="717"/>
        <v>0</v>
      </c>
      <c r="DM104" s="253"/>
      <c r="DO104" s="59">
        <f>DO5+DO23</f>
        <v>0</v>
      </c>
      <c r="DP104" s="59">
        <f t="shared" ref="DP104:DU104" si="718">DP5+DP23</f>
        <v>0</v>
      </c>
      <c r="DQ104" s="59">
        <f t="shared" si="718"/>
        <v>0</v>
      </c>
      <c r="DR104" s="59">
        <f t="shared" si="718"/>
        <v>0</v>
      </c>
      <c r="DS104" s="59">
        <f t="shared" si="718"/>
        <v>2401.13</v>
      </c>
      <c r="DT104" s="59">
        <f t="shared" si="718"/>
        <v>6311.35</v>
      </c>
      <c r="DU104" s="259">
        <f t="shared" si="718"/>
        <v>3438.52</v>
      </c>
      <c r="DV104" s="253"/>
      <c r="DX104" s="59">
        <f>DX5+DX23</f>
        <v>9838.8425000000007</v>
      </c>
      <c r="DY104" s="59">
        <f t="shared" ref="DY104:ED104" si="719">DY5+DY23</f>
        <v>13250.2925</v>
      </c>
      <c r="DZ104" s="59">
        <f t="shared" si="719"/>
        <v>4266.1475</v>
      </c>
      <c r="EA104" s="59">
        <f t="shared" si="719"/>
        <v>9703.0499999999993</v>
      </c>
      <c r="EB104" s="59">
        <f t="shared" si="719"/>
        <v>0</v>
      </c>
      <c r="EC104" s="59">
        <f t="shared" si="719"/>
        <v>0</v>
      </c>
      <c r="ED104" s="259">
        <f t="shared" si="719"/>
        <v>0</v>
      </c>
      <c r="EE104" s="253"/>
      <c r="EG104" s="59">
        <f>EG5+EG23</f>
        <v>2654</v>
      </c>
      <c r="EH104" s="59">
        <f t="shared" ref="EH104:EM104" si="720">EH5+EH23</f>
        <v>10957.375</v>
      </c>
      <c r="EI104" s="59">
        <f t="shared" si="720"/>
        <v>10426.8125</v>
      </c>
      <c r="EJ104" s="59">
        <f t="shared" si="720"/>
        <v>10723.1875</v>
      </c>
      <c r="EK104" s="59">
        <f t="shared" si="720"/>
        <v>10599.5625</v>
      </c>
      <c r="EL104" s="59">
        <f t="shared" si="720"/>
        <v>10101.1875</v>
      </c>
      <c r="EM104" s="259">
        <f t="shared" si="720"/>
        <v>10856.875</v>
      </c>
      <c r="EN104" s="253"/>
      <c r="EP104" s="59">
        <f>EP5+EP23</f>
        <v>10046.4375</v>
      </c>
      <c r="EQ104" s="59">
        <f t="shared" ref="EQ104:EV104" si="721">EQ5+EQ23</f>
        <v>10108.625</v>
      </c>
      <c r="ER104" s="59">
        <f t="shared" si="721"/>
        <v>9475.25</v>
      </c>
      <c r="ES104" s="59">
        <f t="shared" si="721"/>
        <v>12643.6875</v>
      </c>
      <c r="ET104" s="59">
        <f t="shared" si="721"/>
        <v>13016.25</v>
      </c>
      <c r="EU104" s="59">
        <f t="shared" si="721"/>
        <v>11637.1875</v>
      </c>
      <c r="EV104" s="259">
        <f t="shared" si="721"/>
        <v>11076.8125</v>
      </c>
      <c r="EW104" s="253"/>
    </row>
    <row r="105" spans="3:153" ht="16.5" customHeight="1" outlineLevel="1" x14ac:dyDescent="0.3">
      <c r="C105" s="606" t="s">
        <v>337</v>
      </c>
      <c r="D105" s="561" t="s">
        <v>38</v>
      </c>
      <c r="E105" s="562"/>
      <c r="F105" s="61"/>
      <c r="G105" s="62" t="s">
        <v>37</v>
      </c>
      <c r="BM105" s="59">
        <f t="shared" ref="BM105:BS105" si="722">BM8+BM26</f>
        <v>20286</v>
      </c>
      <c r="BN105" s="59">
        <f t="shared" si="722"/>
        <v>21868</v>
      </c>
      <c r="BO105" s="59">
        <f t="shared" si="722"/>
        <v>15773</v>
      </c>
      <c r="BP105" s="59">
        <f t="shared" si="722"/>
        <v>15422</v>
      </c>
      <c r="BQ105" s="59">
        <f t="shared" si="722"/>
        <v>13734</v>
      </c>
      <c r="BR105" s="59">
        <f t="shared" si="722"/>
        <v>7568</v>
      </c>
      <c r="BS105" s="259">
        <f t="shared" si="722"/>
        <v>1628</v>
      </c>
      <c r="BT105" s="253"/>
      <c r="BV105" s="59">
        <f>BV8+BV26</f>
        <v>7766</v>
      </c>
      <c r="BW105" s="59">
        <v>21868</v>
      </c>
      <c r="BX105" s="59">
        <f>BX8+BX26</f>
        <v>22276</v>
      </c>
      <c r="BY105" s="59">
        <f>BY8+BY26</f>
        <v>18036</v>
      </c>
      <c r="BZ105" s="59">
        <f>BZ8+BZ26</f>
        <v>12561</v>
      </c>
      <c r="CA105" s="59">
        <f>CA8+CA26</f>
        <v>4763</v>
      </c>
      <c r="CB105" s="259">
        <f>CB8+CB26</f>
        <v>880</v>
      </c>
      <c r="CC105" s="253"/>
      <c r="CE105" s="59">
        <f t="shared" ref="CE105:CK105" si="723">CE8+CE26</f>
        <v>0</v>
      </c>
      <c r="CF105" s="59">
        <f t="shared" si="723"/>
        <v>22270</v>
      </c>
      <c r="CG105" s="59">
        <f t="shared" si="723"/>
        <v>21928</v>
      </c>
      <c r="CH105" s="59">
        <f t="shared" si="723"/>
        <v>16663</v>
      </c>
      <c r="CI105" s="59">
        <f t="shared" si="723"/>
        <v>12068</v>
      </c>
      <c r="CJ105" s="59">
        <f t="shared" si="723"/>
        <v>4921</v>
      </c>
      <c r="CK105" s="259">
        <f t="shared" si="723"/>
        <v>2481</v>
      </c>
      <c r="CL105" s="253"/>
      <c r="CN105" s="59">
        <f t="shared" ref="CN105:CT105" si="724">CN8+CN26</f>
        <v>1133</v>
      </c>
      <c r="CO105" s="59">
        <f t="shared" si="724"/>
        <v>19403</v>
      </c>
      <c r="CP105" s="59">
        <f t="shared" si="724"/>
        <v>14530</v>
      </c>
      <c r="CQ105" s="59">
        <f t="shared" si="724"/>
        <v>17827</v>
      </c>
      <c r="CR105" s="59">
        <f t="shared" si="724"/>
        <v>14685</v>
      </c>
      <c r="CS105" s="59">
        <f t="shared" si="724"/>
        <v>6486</v>
      </c>
      <c r="CT105" s="259">
        <f t="shared" si="724"/>
        <v>1597</v>
      </c>
      <c r="CU105" s="253"/>
      <c r="CW105" s="59">
        <f t="shared" ref="CW105:DC105" si="725">CW8+CW26</f>
        <v>0</v>
      </c>
      <c r="CX105" s="59">
        <f t="shared" si="725"/>
        <v>19403</v>
      </c>
      <c r="CY105" s="59">
        <f t="shared" si="725"/>
        <v>22466</v>
      </c>
      <c r="CZ105" s="59">
        <f t="shared" si="725"/>
        <v>17784</v>
      </c>
      <c r="DA105" s="59">
        <f t="shared" si="725"/>
        <v>13445</v>
      </c>
      <c r="DB105" s="59">
        <f t="shared" si="725"/>
        <v>5921</v>
      </c>
      <c r="DC105" s="259">
        <f t="shared" si="725"/>
        <v>2115</v>
      </c>
      <c r="DD105" s="253"/>
      <c r="DF105" s="59">
        <f>DF8+DF26</f>
        <v>19055</v>
      </c>
      <c r="DG105" s="59">
        <f t="shared" ref="DG105:DL105" si="726">DG8+DG26</f>
        <v>19140</v>
      </c>
      <c r="DH105" s="59">
        <f t="shared" si="726"/>
        <v>20351</v>
      </c>
      <c r="DI105" s="59">
        <f t="shared" si="726"/>
        <v>11920</v>
      </c>
      <c r="DJ105" s="59">
        <f t="shared" si="726"/>
        <v>0</v>
      </c>
      <c r="DK105" s="59">
        <f t="shared" si="726"/>
        <v>0</v>
      </c>
      <c r="DL105" s="259">
        <f t="shared" si="726"/>
        <v>0</v>
      </c>
      <c r="DM105" s="253"/>
      <c r="DO105" s="59">
        <f>DO8+DO26</f>
        <v>0</v>
      </c>
      <c r="DP105" s="59">
        <f t="shared" ref="DP105:DU105" si="727">DP8+DP26</f>
        <v>0</v>
      </c>
      <c r="DQ105" s="59">
        <f t="shared" si="727"/>
        <v>0</v>
      </c>
      <c r="DR105" s="59">
        <f t="shared" si="727"/>
        <v>0</v>
      </c>
      <c r="DS105" s="59">
        <f t="shared" si="727"/>
        <v>7646</v>
      </c>
      <c r="DT105" s="59">
        <f t="shared" si="727"/>
        <v>7902</v>
      </c>
      <c r="DU105" s="259">
        <f t="shared" si="727"/>
        <v>8569</v>
      </c>
      <c r="DV105" s="253"/>
      <c r="DX105" s="59">
        <f>DX8+DX26</f>
        <v>8344</v>
      </c>
      <c r="DY105" s="59">
        <f t="shared" ref="DY105:ED105" si="728">DY8+DY26</f>
        <v>8690</v>
      </c>
      <c r="DZ105" s="59">
        <f t="shared" si="728"/>
        <v>726</v>
      </c>
      <c r="EA105" s="59">
        <f t="shared" si="728"/>
        <v>8195</v>
      </c>
      <c r="EB105" s="59">
        <f t="shared" si="728"/>
        <v>0</v>
      </c>
      <c r="EC105" s="59">
        <f t="shared" si="728"/>
        <v>0</v>
      </c>
      <c r="ED105" s="259">
        <f t="shared" si="728"/>
        <v>0</v>
      </c>
      <c r="EE105" s="253"/>
      <c r="EG105" s="59">
        <f>EG8+EG26</f>
        <v>275</v>
      </c>
      <c r="EH105" s="59">
        <f t="shared" ref="EH105:EM105" si="729">EH8+EH26</f>
        <v>8052</v>
      </c>
      <c r="EI105" s="59">
        <f t="shared" si="729"/>
        <v>7891</v>
      </c>
      <c r="EJ105" s="59">
        <f t="shared" si="729"/>
        <v>8723</v>
      </c>
      <c r="EK105" s="59">
        <f t="shared" si="729"/>
        <v>9273</v>
      </c>
      <c r="EL105" s="59">
        <f t="shared" si="729"/>
        <v>9076</v>
      </c>
      <c r="EM105" s="259">
        <f t="shared" si="729"/>
        <v>9121</v>
      </c>
      <c r="EN105" s="253"/>
      <c r="EP105" s="59">
        <f>EP8+EP26</f>
        <v>7092</v>
      </c>
      <c r="EQ105" s="59">
        <f t="shared" ref="EQ105:EV105" si="730">EQ8+EQ26</f>
        <v>6643</v>
      </c>
      <c r="ER105" s="59">
        <f t="shared" si="730"/>
        <v>5651</v>
      </c>
      <c r="ES105" s="59">
        <f t="shared" si="730"/>
        <v>8339</v>
      </c>
      <c r="ET105" s="59">
        <f t="shared" si="730"/>
        <v>8881</v>
      </c>
      <c r="EU105" s="59">
        <f t="shared" si="730"/>
        <v>8068</v>
      </c>
      <c r="EV105" s="259">
        <f t="shared" si="730"/>
        <v>8631</v>
      </c>
      <c r="EW105" s="253"/>
    </row>
    <row r="106" spans="3:153" ht="15.75" customHeight="1" outlineLevel="1" thickBot="1" x14ac:dyDescent="0.35">
      <c r="C106" s="607" t="s">
        <v>338</v>
      </c>
      <c r="D106" s="561" t="s">
        <v>39</v>
      </c>
      <c r="E106" s="562"/>
      <c r="F106" s="61"/>
      <c r="G106" s="64" t="s">
        <v>37</v>
      </c>
      <c r="BM106" s="59">
        <f t="shared" ref="BM106:BS106" si="731">BM7+BM25</f>
        <v>63846.369999999995</v>
      </c>
      <c r="BN106" s="59">
        <f t="shared" si="731"/>
        <v>75020.290000000008</v>
      </c>
      <c r="BO106" s="59">
        <f t="shared" si="731"/>
        <v>64564.92</v>
      </c>
      <c r="BP106" s="59">
        <f t="shared" si="731"/>
        <v>64398.990000000005</v>
      </c>
      <c r="BQ106" s="59">
        <f t="shared" si="731"/>
        <v>56980.380000000005</v>
      </c>
      <c r="BR106" s="59">
        <f t="shared" si="731"/>
        <v>30315.15</v>
      </c>
      <c r="BS106" s="259">
        <f t="shared" si="731"/>
        <v>16476.04</v>
      </c>
      <c r="BT106" s="253"/>
      <c r="BV106" s="59">
        <f t="shared" ref="BV106:CB106" si="732">BV7+BV25</f>
        <v>40604.14</v>
      </c>
      <c r="BW106" s="59">
        <f t="shared" si="732"/>
        <v>19989.650000000001</v>
      </c>
      <c r="BX106" s="59">
        <f t="shared" si="732"/>
        <v>42632.270000000004</v>
      </c>
      <c r="BY106" s="59">
        <f t="shared" si="732"/>
        <v>74964.929999999993</v>
      </c>
      <c r="BZ106" s="59">
        <f t="shared" si="732"/>
        <v>47874.720000000001</v>
      </c>
      <c r="CA106" s="59">
        <f t="shared" si="732"/>
        <v>21885.64</v>
      </c>
      <c r="CB106" s="259">
        <f t="shared" si="732"/>
        <v>8500.24</v>
      </c>
      <c r="CC106" s="253"/>
      <c r="CE106" s="59">
        <f t="shared" ref="CE106:CK106" si="733">CE7+CE25</f>
        <v>13919.52</v>
      </c>
      <c r="CF106" s="59">
        <f t="shared" si="733"/>
        <v>75020.290000000008</v>
      </c>
      <c r="CG106" s="59">
        <f t="shared" si="733"/>
        <v>90349.05</v>
      </c>
      <c r="CH106" s="59">
        <f t="shared" si="733"/>
        <v>75445.37</v>
      </c>
      <c r="CI106" s="59">
        <f t="shared" si="733"/>
        <v>58191</v>
      </c>
      <c r="CJ106" s="59">
        <f t="shared" si="733"/>
        <v>35460</v>
      </c>
      <c r="CK106" s="259">
        <f t="shared" si="733"/>
        <v>24597</v>
      </c>
      <c r="CL106" s="253"/>
      <c r="CN106" s="59">
        <f t="shared" ref="CN106:CT106" si="734">CN7+CN25</f>
        <v>19416</v>
      </c>
      <c r="CO106" s="59">
        <f t="shared" si="734"/>
        <v>84753.42</v>
      </c>
      <c r="CP106" s="59">
        <f t="shared" si="734"/>
        <v>65252.09</v>
      </c>
      <c r="CQ106" s="59">
        <f t="shared" si="734"/>
        <v>77754.459999999992</v>
      </c>
      <c r="CR106" s="59">
        <f t="shared" si="734"/>
        <v>58277.7</v>
      </c>
      <c r="CS106" s="59">
        <f t="shared" si="734"/>
        <v>35930.9</v>
      </c>
      <c r="CT106" s="259">
        <f t="shared" si="734"/>
        <v>20318.559999999998</v>
      </c>
      <c r="CU106" s="253"/>
      <c r="CW106" s="59">
        <f t="shared" ref="CW106:DC106" si="735">CW7+CW25</f>
        <v>17421.71</v>
      </c>
      <c r="CX106" s="59">
        <f t="shared" si="735"/>
        <v>84753.42</v>
      </c>
      <c r="CY106" s="59">
        <f t="shared" si="735"/>
        <v>100401.20999999999</v>
      </c>
      <c r="CZ106" s="59">
        <f t="shared" si="735"/>
        <v>84949.7</v>
      </c>
      <c r="DA106" s="59">
        <f t="shared" si="735"/>
        <v>55778.3</v>
      </c>
      <c r="DB106" s="59">
        <f t="shared" si="735"/>
        <v>36398.089999999997</v>
      </c>
      <c r="DC106" s="259">
        <f t="shared" si="735"/>
        <v>25130.21</v>
      </c>
      <c r="DD106" s="253"/>
      <c r="DF106" s="59">
        <f>DF7+DF25</f>
        <v>88146.33</v>
      </c>
      <c r="DG106" s="59">
        <f t="shared" ref="DG106:DL106" si="736">DG7+DG25</f>
        <v>87706.540000000008</v>
      </c>
      <c r="DH106" s="59">
        <f t="shared" si="736"/>
        <v>89542.85</v>
      </c>
      <c r="DI106" s="59">
        <f t="shared" si="736"/>
        <v>67021.3</v>
      </c>
      <c r="DJ106" s="59">
        <f t="shared" si="736"/>
        <v>0</v>
      </c>
      <c r="DK106" s="59">
        <f t="shared" si="736"/>
        <v>0</v>
      </c>
      <c r="DL106" s="259">
        <f t="shared" si="736"/>
        <v>0</v>
      </c>
      <c r="DM106" s="253"/>
      <c r="DO106" s="59">
        <f>DO7+DO25</f>
        <v>0</v>
      </c>
      <c r="DP106" s="59">
        <f t="shared" ref="DP106:DU106" si="737">DP7+DP25</f>
        <v>0</v>
      </c>
      <c r="DQ106" s="59">
        <f t="shared" si="737"/>
        <v>0</v>
      </c>
      <c r="DR106" s="59">
        <f t="shared" si="737"/>
        <v>0</v>
      </c>
      <c r="DS106" s="59">
        <f t="shared" si="737"/>
        <v>31514</v>
      </c>
      <c r="DT106" s="59">
        <f t="shared" si="737"/>
        <v>41565.730000000003</v>
      </c>
      <c r="DU106" s="259">
        <f t="shared" si="737"/>
        <v>33636.99</v>
      </c>
      <c r="DV106" s="253"/>
      <c r="DX106" s="59">
        <f>DX7+DX25</f>
        <v>35917.962400000499</v>
      </c>
      <c r="DY106" s="59">
        <f t="shared" ref="DY106:ED106" si="738">DY7+DY25</f>
        <v>36572.854000000298</v>
      </c>
      <c r="DZ106" s="59">
        <f t="shared" si="738"/>
        <v>12244.18679999933</v>
      </c>
      <c r="EA106" s="59">
        <f t="shared" si="738"/>
        <v>42320.59</v>
      </c>
      <c r="EB106" s="59">
        <f t="shared" si="738"/>
        <v>0</v>
      </c>
      <c r="EC106" s="59">
        <f t="shared" si="738"/>
        <v>0</v>
      </c>
      <c r="ED106" s="259">
        <f t="shared" si="738"/>
        <v>0</v>
      </c>
      <c r="EE106" s="253"/>
      <c r="EG106" s="59">
        <f>EG7+EG25</f>
        <v>197.716799998656</v>
      </c>
      <c r="EH106" s="59">
        <f t="shared" ref="EH106:EM106" si="739">EH7+EH25</f>
        <v>20879.701600002099</v>
      </c>
      <c r="EI106" s="59">
        <f t="shared" si="739"/>
        <v>20920.403999999198</v>
      </c>
      <c r="EJ106" s="59">
        <f t="shared" si="739"/>
        <v>27706.347200000699</v>
      </c>
      <c r="EK106" s="59">
        <f t="shared" si="739"/>
        <v>29393.852399999301</v>
      </c>
      <c r="EL106" s="59">
        <f t="shared" si="739"/>
        <v>27143.212400000499</v>
      </c>
      <c r="EM106" s="259">
        <f t="shared" si="739"/>
        <v>28089.438799999702</v>
      </c>
      <c r="EN106" s="253"/>
      <c r="EP106" s="59">
        <f>EP7+EP25</f>
        <v>23824.590800000398</v>
      </c>
      <c r="EQ106" s="59">
        <f t="shared" ref="EQ106:EV106" si="740">EQ7+EQ25</f>
        <v>26745.809999998699</v>
      </c>
      <c r="ER106" s="59">
        <f t="shared" si="740"/>
        <v>25118.898399999402</v>
      </c>
      <c r="ES106" s="59">
        <f t="shared" si="740"/>
        <v>33889.948400002002</v>
      </c>
      <c r="ET106" s="59">
        <f t="shared" si="740"/>
        <v>36361.582399999701</v>
      </c>
      <c r="EU106" s="59">
        <f t="shared" si="740"/>
        <v>34528.632799999803</v>
      </c>
      <c r="EV106" s="259">
        <f t="shared" si="740"/>
        <v>33308.719200000203</v>
      </c>
      <c r="EW106" s="253"/>
    </row>
    <row r="107" spans="3:153" ht="16.5" customHeight="1" outlineLevel="1" x14ac:dyDescent="0.3">
      <c r="C107" s="608" t="s">
        <v>339</v>
      </c>
      <c r="D107" s="571" t="s">
        <v>41</v>
      </c>
      <c r="E107" s="572"/>
      <c r="F107" s="61"/>
      <c r="G107" s="62" t="s">
        <v>37</v>
      </c>
      <c r="BM107" s="59">
        <f t="shared" ref="BM107:BS107" si="741">BM58+BM59</f>
        <v>2643.8154</v>
      </c>
      <c r="BN107" s="59">
        <f t="shared" si="741"/>
        <v>2889.0356999999999</v>
      </c>
      <c r="BO107" s="59">
        <f t="shared" si="741"/>
        <v>2118.2308000000003</v>
      </c>
      <c r="BP107" s="59">
        <f t="shared" si="741"/>
        <v>2214.0538999999999</v>
      </c>
      <c r="BQ107" s="59">
        <f t="shared" si="741"/>
        <v>1358.0414000000001</v>
      </c>
      <c r="BR107" s="59">
        <f t="shared" si="741"/>
        <v>852.23469999999998</v>
      </c>
      <c r="BS107" s="259">
        <f t="shared" si="741"/>
        <v>254.35910000000001</v>
      </c>
      <c r="BT107" s="253"/>
      <c r="BV107" s="59">
        <f t="shared" ref="BV107:CB107" si="742">BV58+BV59</f>
        <v>1419</v>
      </c>
      <c r="BW107" s="59">
        <f t="shared" si="742"/>
        <v>426.50720000000001</v>
      </c>
      <c r="BX107" s="59">
        <f t="shared" si="742"/>
        <v>2406.8274999999999</v>
      </c>
      <c r="BY107" s="59">
        <f t="shared" si="742"/>
        <v>1563.0792000000001</v>
      </c>
      <c r="BZ107" s="59">
        <f t="shared" si="742"/>
        <v>1206.7819999999999</v>
      </c>
      <c r="CA107" s="59">
        <f t="shared" si="742"/>
        <v>465.10040000000004</v>
      </c>
      <c r="CB107" s="259">
        <f t="shared" si="742"/>
        <v>144.5635</v>
      </c>
      <c r="CC107" s="253"/>
      <c r="CE107" s="59">
        <f t="shared" ref="CE107:CK107" si="743">CE58+CE59</f>
        <v>292.76479999999998</v>
      </c>
      <c r="CF107" s="59">
        <f t="shared" si="743"/>
        <v>2145.1799000000001</v>
      </c>
      <c r="CG107" s="59">
        <f t="shared" si="743"/>
        <v>1989.383</v>
      </c>
      <c r="CH107" s="59">
        <f t="shared" si="743"/>
        <v>1569.1891000000001</v>
      </c>
      <c r="CI107" s="59">
        <f t="shared" si="743"/>
        <v>1246.5</v>
      </c>
      <c r="CJ107" s="59">
        <f t="shared" si="743"/>
        <v>783.06</v>
      </c>
      <c r="CK107" s="259">
        <f t="shared" si="743"/>
        <v>171.07</v>
      </c>
      <c r="CL107" s="253"/>
      <c r="CN107" s="59">
        <f t="shared" ref="CN107:CT107" si="744">CN58+CN59</f>
        <v>223.81</v>
      </c>
      <c r="CO107" s="59">
        <f t="shared" si="744"/>
        <v>2369.6148000000003</v>
      </c>
      <c r="CP107" s="59">
        <f t="shared" si="744"/>
        <v>1737.1219000000001</v>
      </c>
      <c r="CQ107" s="59">
        <f t="shared" si="744"/>
        <v>1976.11</v>
      </c>
      <c r="CR107" s="59">
        <f t="shared" si="744"/>
        <v>1294.5360000000001</v>
      </c>
      <c r="CS107" s="59">
        <f t="shared" si="744"/>
        <v>308.036</v>
      </c>
      <c r="CT107" s="259">
        <f t="shared" si="744"/>
        <v>253.13660000000002</v>
      </c>
      <c r="CU107" s="253"/>
      <c r="CW107" s="59">
        <f t="shared" ref="CW107:DC107" si="745">CW58+CW59</f>
        <v>438.67589999999996</v>
      </c>
      <c r="CX107" s="59">
        <f t="shared" si="745"/>
        <v>2864.07485</v>
      </c>
      <c r="CY107" s="59">
        <f t="shared" si="745"/>
        <v>2372.1237000000001</v>
      </c>
      <c r="CZ107" s="59">
        <f t="shared" si="745"/>
        <v>2549.9576000000002</v>
      </c>
      <c r="DA107" s="59">
        <f t="shared" si="745"/>
        <v>2009.0756000000001</v>
      </c>
      <c r="DB107" s="59">
        <f t="shared" si="745"/>
        <v>868.36670000000004</v>
      </c>
      <c r="DC107" s="259">
        <f t="shared" si="745"/>
        <v>372.21420000000001</v>
      </c>
      <c r="DD107" s="253"/>
      <c r="DF107" s="59">
        <f>DF58+DF59</f>
        <v>2888.6415000000002</v>
      </c>
      <c r="DG107" s="59">
        <f t="shared" ref="DG107:DL107" si="746">DG58+DG59</f>
        <v>2861.4122000000002</v>
      </c>
      <c r="DH107" s="59">
        <f t="shared" si="746"/>
        <v>2830.9054000000001</v>
      </c>
      <c r="DI107" s="59">
        <f t="shared" si="746"/>
        <v>1358.5732</v>
      </c>
      <c r="DJ107" s="59">
        <f t="shared" si="746"/>
        <v>0</v>
      </c>
      <c r="DK107" s="59">
        <f t="shared" si="746"/>
        <v>0</v>
      </c>
      <c r="DL107" s="259">
        <f t="shared" si="746"/>
        <v>0</v>
      </c>
      <c r="DM107" s="253"/>
      <c r="DO107" s="59">
        <f>DO58+DO59</f>
        <v>0</v>
      </c>
      <c r="DP107" s="59">
        <f t="shared" ref="DP107:DU107" si="747">DP58+DP59</f>
        <v>0</v>
      </c>
      <c r="DQ107" s="59">
        <f t="shared" si="747"/>
        <v>0</v>
      </c>
      <c r="DR107" s="59">
        <f t="shared" si="747"/>
        <v>0</v>
      </c>
      <c r="DS107" s="59">
        <f t="shared" si="747"/>
        <v>1205.539</v>
      </c>
      <c r="DT107" s="59">
        <f t="shared" si="747"/>
        <v>1729.8651</v>
      </c>
      <c r="DU107" s="259">
        <f t="shared" si="747"/>
        <v>950.33429999999998</v>
      </c>
      <c r="DV107" s="253"/>
      <c r="DX107" s="59">
        <f>DX58+DX59</f>
        <v>155.7492</v>
      </c>
      <c r="DY107" s="59">
        <f t="shared" ref="DY107:ED107" si="748">DY58+DY59</f>
        <v>86.803899999999999</v>
      </c>
      <c r="DZ107" s="59">
        <f t="shared" si="748"/>
        <v>361.67649999999998</v>
      </c>
      <c r="EA107" s="59">
        <f t="shared" si="748"/>
        <v>1232.9107999999999</v>
      </c>
      <c r="EB107" s="59">
        <f t="shared" si="748"/>
        <v>0</v>
      </c>
      <c r="EC107" s="59">
        <f t="shared" si="748"/>
        <v>0</v>
      </c>
      <c r="ED107" s="259">
        <f t="shared" si="748"/>
        <v>0</v>
      </c>
      <c r="EE107" s="253"/>
      <c r="EG107" s="59">
        <f>EG58+EG59</f>
        <v>0</v>
      </c>
      <c r="EH107" s="59">
        <f t="shared" ref="EH107:EM107" si="749">EH58+EH59</f>
        <v>0</v>
      </c>
      <c r="EI107" s="59">
        <f t="shared" si="749"/>
        <v>0</v>
      </c>
      <c r="EJ107" s="59">
        <f t="shared" si="749"/>
        <v>0</v>
      </c>
      <c r="EK107" s="59">
        <f t="shared" si="749"/>
        <v>0</v>
      </c>
      <c r="EL107" s="59">
        <f t="shared" si="749"/>
        <v>0</v>
      </c>
      <c r="EM107" s="259">
        <f t="shared" si="749"/>
        <v>0</v>
      </c>
      <c r="EN107" s="253"/>
      <c r="EP107" s="59">
        <f>EP58+EP59</f>
        <v>0</v>
      </c>
      <c r="EQ107" s="59">
        <f t="shared" ref="EQ107:EV107" si="750">EQ58+EQ59</f>
        <v>0</v>
      </c>
      <c r="ER107" s="59">
        <f t="shared" si="750"/>
        <v>0</v>
      </c>
      <c r="ES107" s="59">
        <f t="shared" si="750"/>
        <v>0</v>
      </c>
      <c r="ET107" s="59">
        <f t="shared" si="750"/>
        <v>0</v>
      </c>
      <c r="EU107" s="59">
        <f t="shared" si="750"/>
        <v>0</v>
      </c>
      <c r="EV107" s="259">
        <f t="shared" si="750"/>
        <v>0</v>
      </c>
      <c r="EW107" s="253"/>
    </row>
    <row r="108" spans="3:153" ht="15.75" customHeight="1" outlineLevel="1" thickBot="1" x14ac:dyDescent="0.35">
      <c r="C108" s="609" t="s">
        <v>340</v>
      </c>
      <c r="D108" s="571" t="s">
        <v>42</v>
      </c>
      <c r="E108" s="572"/>
      <c r="F108" s="61"/>
      <c r="G108" s="64" t="s">
        <v>37</v>
      </c>
      <c r="BM108" s="59"/>
      <c r="BN108" s="18"/>
      <c r="BO108" s="18"/>
      <c r="BP108" s="18"/>
      <c r="BQ108" s="18"/>
      <c r="BR108" s="18"/>
      <c r="BS108" s="260"/>
      <c r="BT108" s="254"/>
      <c r="BV108" s="59"/>
      <c r="BW108" s="18"/>
      <c r="BX108" s="18"/>
      <c r="BY108" s="18"/>
      <c r="BZ108" s="18"/>
      <c r="CA108" s="18"/>
      <c r="CB108" s="260"/>
      <c r="CC108" s="254"/>
      <c r="CE108" s="59"/>
      <c r="CF108" s="18"/>
      <c r="CG108" s="18"/>
      <c r="CH108" s="18"/>
      <c r="CI108" s="18"/>
      <c r="CJ108" s="18"/>
      <c r="CK108" s="260"/>
      <c r="CL108" s="254"/>
      <c r="CN108" s="59"/>
      <c r="CO108" s="18"/>
      <c r="CP108" s="18"/>
      <c r="CQ108" s="18"/>
      <c r="CR108" s="18"/>
      <c r="CS108" s="18"/>
      <c r="CT108" s="260"/>
      <c r="CU108" s="254"/>
      <c r="CW108" s="59"/>
      <c r="CX108" s="18"/>
      <c r="CY108" s="18"/>
      <c r="CZ108" s="18"/>
      <c r="DA108" s="18"/>
      <c r="DB108" s="18"/>
      <c r="DC108" s="260"/>
      <c r="DD108" s="254"/>
      <c r="DF108" s="59"/>
      <c r="DG108" s="18"/>
      <c r="DH108" s="18"/>
      <c r="DI108" s="18"/>
      <c r="DJ108" s="18"/>
      <c r="DK108" s="18"/>
      <c r="DL108" s="260"/>
      <c r="DM108" s="254"/>
      <c r="DO108" s="59"/>
      <c r="DP108" s="18"/>
      <c r="DQ108" s="18"/>
      <c r="DR108" s="18"/>
      <c r="DS108" s="18"/>
      <c r="DT108" s="18"/>
      <c r="DU108" s="260"/>
      <c r="DV108" s="254"/>
      <c r="DX108" s="59"/>
      <c r="DY108" s="18"/>
      <c r="DZ108" s="18"/>
      <c r="EA108" s="18"/>
      <c r="EB108" s="18"/>
      <c r="EC108" s="18"/>
      <c r="ED108" s="260"/>
      <c r="EE108" s="254"/>
      <c r="EG108" s="59"/>
      <c r="EH108" s="18"/>
      <c r="EI108" s="18"/>
      <c r="EJ108" s="18"/>
      <c r="EK108" s="18"/>
      <c r="EL108" s="18"/>
      <c r="EM108" s="260"/>
      <c r="EN108" s="254"/>
      <c r="EP108" s="59"/>
      <c r="EQ108" s="18"/>
      <c r="ER108" s="18"/>
      <c r="ES108" s="18"/>
      <c r="ET108" s="18"/>
      <c r="EU108" s="18"/>
      <c r="EV108" s="260"/>
      <c r="EW108" s="254"/>
    </row>
    <row r="109" spans="3:153" ht="15.75" customHeight="1" outlineLevel="1" x14ac:dyDescent="0.3">
      <c r="C109" s="610" t="s">
        <v>341</v>
      </c>
      <c r="D109" s="563" t="s">
        <v>43</v>
      </c>
      <c r="E109" s="564"/>
      <c r="F109" s="61"/>
      <c r="G109" s="62" t="s">
        <v>37</v>
      </c>
      <c r="BM109" s="59">
        <f t="shared" ref="BM109:BS109" si="751">BM42</f>
        <v>91.07</v>
      </c>
      <c r="BN109" s="59">
        <f t="shared" si="751"/>
        <v>50.74</v>
      </c>
      <c r="BO109" s="59">
        <f t="shared" si="751"/>
        <v>73.87</v>
      </c>
      <c r="BP109" s="59">
        <f t="shared" si="751"/>
        <v>54.25</v>
      </c>
      <c r="BQ109" s="59">
        <f t="shared" si="751"/>
        <v>6.39</v>
      </c>
      <c r="BR109" s="59">
        <f t="shared" si="751"/>
        <v>1.68</v>
      </c>
      <c r="BS109" s="259">
        <f t="shared" si="751"/>
        <v>2.06</v>
      </c>
      <c r="BT109" s="253"/>
      <c r="BV109" s="59">
        <f t="shared" ref="BV109:CB109" si="752">BV42</f>
        <v>82.29</v>
      </c>
      <c r="BW109" s="59">
        <f t="shared" si="752"/>
        <v>70.28</v>
      </c>
      <c r="BX109" s="59">
        <f t="shared" si="752"/>
        <v>42.739999999999995</v>
      </c>
      <c r="BY109" s="59">
        <f t="shared" si="752"/>
        <v>62</v>
      </c>
      <c r="BZ109" s="59">
        <f t="shared" si="752"/>
        <v>18</v>
      </c>
      <c r="CA109" s="59">
        <f t="shared" si="752"/>
        <v>0.15</v>
      </c>
      <c r="CB109" s="259">
        <f t="shared" si="752"/>
        <v>1.85</v>
      </c>
      <c r="CC109" s="253"/>
      <c r="CE109" s="59">
        <f t="shared" ref="CE109:CK109" si="753">CE42</f>
        <v>72.52</v>
      </c>
      <c r="CF109" s="59">
        <f t="shared" si="753"/>
        <v>50.14</v>
      </c>
      <c r="CG109" s="59">
        <f t="shared" si="753"/>
        <v>83.56</v>
      </c>
      <c r="CH109" s="59">
        <f t="shared" si="753"/>
        <v>47.2</v>
      </c>
      <c r="CI109" s="59">
        <f t="shared" si="753"/>
        <v>2.34</v>
      </c>
      <c r="CJ109" s="59">
        <f t="shared" si="753"/>
        <v>0.72</v>
      </c>
      <c r="CK109" s="259">
        <f t="shared" si="753"/>
        <v>0</v>
      </c>
      <c r="CL109" s="253"/>
      <c r="CN109" s="59">
        <f t="shared" ref="CN109:CT109" si="754">CN42</f>
        <v>3.68</v>
      </c>
      <c r="CO109" s="59">
        <f t="shared" si="754"/>
        <v>79.11</v>
      </c>
      <c r="CP109" s="59">
        <f t="shared" si="754"/>
        <v>57.7</v>
      </c>
      <c r="CQ109" s="59">
        <f t="shared" si="754"/>
        <v>60.04</v>
      </c>
      <c r="CR109" s="59">
        <f t="shared" si="754"/>
        <v>38.049999999999997</v>
      </c>
      <c r="CS109" s="59">
        <f t="shared" si="754"/>
        <v>0.2</v>
      </c>
      <c r="CT109" s="259">
        <f t="shared" si="754"/>
        <v>1.88</v>
      </c>
      <c r="CU109" s="253"/>
      <c r="CW109" s="59">
        <f t="shared" ref="CW109:DC109" si="755">CW42</f>
        <v>98.05</v>
      </c>
      <c r="CX109" s="59">
        <f t="shared" si="755"/>
        <v>74.930000000000007</v>
      </c>
      <c r="CY109" s="59">
        <f t="shared" si="755"/>
        <v>72.319999999999993</v>
      </c>
      <c r="CZ109" s="59">
        <f t="shared" si="755"/>
        <v>80.67</v>
      </c>
      <c r="DA109" s="59">
        <f t="shared" si="755"/>
        <v>40.82</v>
      </c>
      <c r="DB109" s="59">
        <f t="shared" si="755"/>
        <v>2.82</v>
      </c>
      <c r="DC109" s="259">
        <f t="shared" si="755"/>
        <v>1.74</v>
      </c>
      <c r="DD109" s="253"/>
      <c r="DF109" s="59">
        <f t="shared" ref="DF109:DL109" si="756">DF42</f>
        <v>78.37</v>
      </c>
      <c r="DG109" s="59">
        <f t="shared" si="756"/>
        <v>35.67</v>
      </c>
      <c r="DH109" s="59">
        <f t="shared" si="756"/>
        <v>57.44</v>
      </c>
      <c r="DI109" s="59">
        <f t="shared" si="756"/>
        <v>29.8</v>
      </c>
      <c r="DJ109" s="59">
        <f t="shared" si="756"/>
        <v>0</v>
      </c>
      <c r="DK109" s="59">
        <f t="shared" si="756"/>
        <v>0</v>
      </c>
      <c r="DL109" s="259">
        <f t="shared" si="756"/>
        <v>0</v>
      </c>
      <c r="DM109" s="253"/>
      <c r="DO109" s="59">
        <f t="shared" ref="DO109:DU109" si="757">DO42</f>
        <v>0</v>
      </c>
      <c r="DP109" s="59">
        <f t="shared" si="757"/>
        <v>0</v>
      </c>
      <c r="DQ109" s="59">
        <f t="shared" si="757"/>
        <v>0</v>
      </c>
      <c r="DR109" s="59">
        <f t="shared" si="757"/>
        <v>0</v>
      </c>
      <c r="DS109" s="59">
        <f t="shared" si="757"/>
        <v>0</v>
      </c>
      <c r="DT109" s="59">
        <f t="shared" si="757"/>
        <v>1.1299999999999999</v>
      </c>
      <c r="DU109" s="259">
        <f t="shared" si="757"/>
        <v>0.38</v>
      </c>
      <c r="DV109" s="253"/>
      <c r="DX109" s="59">
        <f t="shared" ref="DX109:ED109" si="758">DX42</f>
        <v>0.27</v>
      </c>
      <c r="DY109" s="59">
        <f t="shared" si="758"/>
        <v>5.12</v>
      </c>
      <c r="DZ109" s="59">
        <f t="shared" si="758"/>
        <v>84.98</v>
      </c>
      <c r="EA109" s="59">
        <f t="shared" si="758"/>
        <v>101.71</v>
      </c>
      <c r="EB109" s="59">
        <f t="shared" si="758"/>
        <v>0</v>
      </c>
      <c r="EC109" s="59">
        <f t="shared" si="758"/>
        <v>0</v>
      </c>
      <c r="ED109" s="259">
        <f t="shared" si="758"/>
        <v>0</v>
      </c>
      <c r="EE109" s="253"/>
      <c r="EG109" s="59">
        <f t="shared" ref="EG109:EM109" si="759">EG42</f>
        <v>0</v>
      </c>
      <c r="EH109" s="59">
        <f t="shared" si="759"/>
        <v>0</v>
      </c>
      <c r="EI109" s="59">
        <f t="shared" si="759"/>
        <v>0</v>
      </c>
      <c r="EJ109" s="59">
        <f t="shared" si="759"/>
        <v>0</v>
      </c>
      <c r="EK109" s="59">
        <f t="shared" si="759"/>
        <v>0</v>
      </c>
      <c r="EL109" s="59">
        <f t="shared" si="759"/>
        <v>0</v>
      </c>
      <c r="EM109" s="259">
        <f t="shared" si="759"/>
        <v>0</v>
      </c>
      <c r="EN109" s="253"/>
      <c r="EP109" s="59">
        <f t="shared" ref="EP109:EV109" si="760">EP42</f>
        <v>0</v>
      </c>
      <c r="EQ109" s="59">
        <f t="shared" si="760"/>
        <v>0</v>
      </c>
      <c r="ER109" s="59">
        <f t="shared" si="760"/>
        <v>0</v>
      </c>
      <c r="ES109" s="59">
        <f t="shared" si="760"/>
        <v>0</v>
      </c>
      <c r="ET109" s="59">
        <f t="shared" si="760"/>
        <v>0</v>
      </c>
      <c r="EU109" s="59">
        <f t="shared" si="760"/>
        <v>0</v>
      </c>
      <c r="EV109" s="259">
        <f t="shared" si="760"/>
        <v>0</v>
      </c>
      <c r="EW109" s="253"/>
    </row>
    <row r="110" spans="3:153" ht="15.75" customHeight="1" outlineLevel="1" x14ac:dyDescent="0.3">
      <c r="C110" s="611" t="s">
        <v>342</v>
      </c>
      <c r="D110" s="563" t="s">
        <v>44</v>
      </c>
      <c r="E110" s="564"/>
      <c r="F110" s="61"/>
      <c r="G110" s="64" t="s">
        <v>37</v>
      </c>
      <c r="BM110" s="59">
        <f t="shared" ref="BM110:BS110" si="761">BM41</f>
        <v>4726.1499999999996</v>
      </c>
      <c r="BN110" s="59">
        <f t="shared" si="761"/>
        <v>2981.39</v>
      </c>
      <c r="BO110" s="59">
        <f t="shared" si="761"/>
        <v>4156.58</v>
      </c>
      <c r="BP110" s="59">
        <f t="shared" si="761"/>
        <v>3202.34</v>
      </c>
      <c r="BQ110" s="59">
        <f t="shared" si="761"/>
        <v>738.59</v>
      </c>
      <c r="BR110" s="59">
        <f t="shared" si="761"/>
        <v>320.04000000000002</v>
      </c>
      <c r="BS110" s="259">
        <f t="shared" si="761"/>
        <v>356.75</v>
      </c>
      <c r="BT110" s="253"/>
      <c r="BV110" s="59">
        <f t="shared" ref="BV110:CB110" si="762">BV41</f>
        <v>4365.38</v>
      </c>
      <c r="BW110" s="59">
        <f t="shared" si="762"/>
        <v>4225.04</v>
      </c>
      <c r="BX110" s="59">
        <f t="shared" si="762"/>
        <v>2770.63</v>
      </c>
      <c r="BY110" s="59">
        <f t="shared" si="762"/>
        <v>3143</v>
      </c>
      <c r="BZ110" s="59">
        <f t="shared" si="762"/>
        <v>1342.62</v>
      </c>
      <c r="CA110" s="59">
        <f t="shared" si="762"/>
        <v>281</v>
      </c>
      <c r="CB110" s="259">
        <f t="shared" si="762"/>
        <v>284.76</v>
      </c>
      <c r="CC110" s="253"/>
      <c r="CE110" s="59">
        <f t="shared" ref="CE110:CK110" si="763">CE41</f>
        <v>3837.7</v>
      </c>
      <c r="CF110" s="59">
        <f t="shared" si="763"/>
        <v>3272.04</v>
      </c>
      <c r="CG110" s="59">
        <f t="shared" si="763"/>
        <v>5231.66</v>
      </c>
      <c r="CH110" s="59">
        <f t="shared" si="763"/>
        <v>3463.51</v>
      </c>
      <c r="CI110" s="59">
        <f t="shared" si="763"/>
        <v>509</v>
      </c>
      <c r="CJ110" s="59">
        <f t="shared" si="763"/>
        <v>391</v>
      </c>
      <c r="CK110" s="259">
        <f t="shared" si="763"/>
        <v>324</v>
      </c>
      <c r="CL110" s="253"/>
      <c r="CN110" s="59">
        <f t="shared" ref="CN110:CT110" si="764">CN41</f>
        <v>359</v>
      </c>
      <c r="CO110" s="59">
        <f t="shared" si="764"/>
        <v>4707.43</v>
      </c>
      <c r="CP110" s="59">
        <f t="shared" si="764"/>
        <v>6748.13</v>
      </c>
      <c r="CQ110" s="59">
        <f t="shared" si="764"/>
        <v>3784.94</v>
      </c>
      <c r="CR110" s="59">
        <f t="shared" si="764"/>
        <v>2414.9299999999998</v>
      </c>
      <c r="CS110" s="59">
        <f t="shared" si="764"/>
        <v>458.46</v>
      </c>
      <c r="CT110" s="259">
        <f t="shared" si="764"/>
        <v>426.85</v>
      </c>
      <c r="CU110" s="253"/>
      <c r="CW110" s="59">
        <f t="shared" ref="CW110:DC110" si="765">CW41</f>
        <v>5611.3</v>
      </c>
      <c r="CX110" s="59">
        <f t="shared" si="765"/>
        <v>4495.05</v>
      </c>
      <c r="CY110" s="59">
        <f t="shared" si="765"/>
        <v>4449.12</v>
      </c>
      <c r="CZ110" s="59">
        <f t="shared" si="765"/>
        <v>4881.6499999999996</v>
      </c>
      <c r="DA110" s="59">
        <f t="shared" si="765"/>
        <v>2422.02</v>
      </c>
      <c r="DB110" s="59">
        <f t="shared" si="765"/>
        <v>512.73</v>
      </c>
      <c r="DC110" s="259">
        <f t="shared" si="765"/>
        <v>441</v>
      </c>
      <c r="DD110" s="253"/>
      <c r="DF110" s="59">
        <f t="shared" ref="DF110:DL110" si="766">DF41</f>
        <v>4627.88</v>
      </c>
      <c r="DG110" s="59">
        <f t="shared" si="766"/>
        <v>2243.88</v>
      </c>
      <c r="DH110" s="59">
        <f t="shared" si="766"/>
        <v>3815.12</v>
      </c>
      <c r="DI110" s="59">
        <f t="shared" si="766"/>
        <v>2286.08</v>
      </c>
      <c r="DJ110" s="59">
        <f t="shared" si="766"/>
        <v>0</v>
      </c>
      <c r="DK110" s="59">
        <f t="shared" si="766"/>
        <v>0</v>
      </c>
      <c r="DL110" s="259">
        <f t="shared" si="766"/>
        <v>0</v>
      </c>
      <c r="DM110" s="253"/>
      <c r="DO110" s="59">
        <f t="shared" ref="DO110:DU110" si="767">DO41</f>
        <v>0</v>
      </c>
      <c r="DP110" s="59">
        <f t="shared" si="767"/>
        <v>0</v>
      </c>
      <c r="DQ110" s="59">
        <f t="shared" si="767"/>
        <v>0</v>
      </c>
      <c r="DR110" s="59">
        <f t="shared" si="767"/>
        <v>0</v>
      </c>
      <c r="DS110" s="59">
        <f t="shared" si="767"/>
        <v>0</v>
      </c>
      <c r="DT110" s="59">
        <f t="shared" si="767"/>
        <v>56.09</v>
      </c>
      <c r="DU110" s="259">
        <f t="shared" si="767"/>
        <v>21.43</v>
      </c>
      <c r="DV110" s="253"/>
      <c r="DX110" s="59">
        <f t="shared" ref="DX110:ED110" si="768">DX41</f>
        <v>89.52</v>
      </c>
      <c r="DY110" s="59">
        <f t="shared" si="768"/>
        <v>167.1</v>
      </c>
      <c r="DZ110" s="59">
        <f t="shared" si="768"/>
        <v>5044.9799999999996</v>
      </c>
      <c r="EA110" s="59">
        <f t="shared" si="768"/>
        <v>6774.07</v>
      </c>
      <c r="EB110" s="59">
        <f t="shared" si="768"/>
        <v>0</v>
      </c>
      <c r="EC110" s="59">
        <f t="shared" si="768"/>
        <v>0</v>
      </c>
      <c r="ED110" s="259">
        <f t="shared" si="768"/>
        <v>0</v>
      </c>
      <c r="EE110" s="253"/>
      <c r="EG110" s="59">
        <f t="shared" ref="EG110:EM110" si="769">EG41</f>
        <v>0</v>
      </c>
      <c r="EH110" s="59">
        <f t="shared" si="769"/>
        <v>0</v>
      </c>
      <c r="EI110" s="59">
        <f t="shared" si="769"/>
        <v>0</v>
      </c>
      <c r="EJ110" s="59">
        <f t="shared" si="769"/>
        <v>0</v>
      </c>
      <c r="EK110" s="59">
        <f t="shared" si="769"/>
        <v>0</v>
      </c>
      <c r="EL110" s="59">
        <f t="shared" si="769"/>
        <v>0</v>
      </c>
      <c r="EM110" s="259">
        <f t="shared" si="769"/>
        <v>0</v>
      </c>
      <c r="EN110" s="253"/>
      <c r="EP110" s="59">
        <f t="shared" ref="EP110:EV110" si="770">EP41</f>
        <v>0</v>
      </c>
      <c r="EQ110" s="59">
        <f t="shared" si="770"/>
        <v>0</v>
      </c>
      <c r="ER110" s="59">
        <f t="shared" si="770"/>
        <v>0</v>
      </c>
      <c r="ES110" s="59">
        <f t="shared" si="770"/>
        <v>0</v>
      </c>
      <c r="ET110" s="59">
        <f t="shared" si="770"/>
        <v>0</v>
      </c>
      <c r="EU110" s="59">
        <f t="shared" si="770"/>
        <v>0</v>
      </c>
      <c r="EV110" s="259">
        <f t="shared" si="770"/>
        <v>0</v>
      </c>
      <c r="EW110" s="253"/>
    </row>
    <row r="111" spans="3:153" ht="16.5" customHeight="1" outlineLevel="1" x14ac:dyDescent="0.3">
      <c r="C111" s="611" t="s">
        <v>343</v>
      </c>
      <c r="D111" s="563" t="s">
        <v>45</v>
      </c>
      <c r="E111" s="564"/>
      <c r="F111" s="61"/>
      <c r="G111" s="62" t="s">
        <v>37</v>
      </c>
      <c r="BM111" s="59">
        <f>BM42*Dashboard!BS60*0.036</f>
        <v>272.33488075079049</v>
      </c>
      <c r="BN111" s="59">
        <f>BN42*Dashboard!BT60*0.036</f>
        <v>160.77338637493781</v>
      </c>
      <c r="BO111" s="59">
        <f>BO42*Dashboard!BU60*0.036</f>
        <v>237.74521445153803</v>
      </c>
      <c r="BP111" s="59">
        <f>BP42*Dashboard!BV60*0.036</f>
        <v>172.47062453942519</v>
      </c>
      <c r="BQ111" s="59">
        <f>BQ42*Dashboard!BW60*0.036</f>
        <v>18.235566547102131</v>
      </c>
      <c r="BR111" s="59">
        <f>BR42*Dashboard!BX60*0.036</f>
        <v>6.0501944847605218</v>
      </c>
      <c r="BS111" s="259">
        <f>BS42*Dashboard!BY60*0.036</f>
        <v>8.0253145945945956</v>
      </c>
      <c r="BT111" s="253"/>
      <c r="BV111" s="59">
        <f>BV42*90*0.036</f>
        <v>266.61959999999999</v>
      </c>
      <c r="BW111" s="59">
        <f>BW42*0.036*Dashboard!CC60</f>
        <v>257.55619635860796</v>
      </c>
      <c r="BX111" s="59">
        <f>BX42*Dashboard!CD60*0.036</f>
        <v>137.3377036613272</v>
      </c>
      <c r="BY111" s="59">
        <f>BY42*Dashboard!CE60*0.036</f>
        <v>193.0855391914599</v>
      </c>
      <c r="BZ111" s="59">
        <f>BZ42*Dashboard!CF60*0.036</f>
        <v>63.39977723323679</v>
      </c>
      <c r="CA111" s="59">
        <f>CA42*Dashboard!CG60*0.036</f>
        <v>1.1232</v>
      </c>
      <c r="CB111" s="259">
        <f>CB42*Dashboard!CH60*0.036</f>
        <v>6.5978399999999997</v>
      </c>
      <c r="CC111" s="253"/>
      <c r="CE111" s="59">
        <f>CE42*CE69*0.036</f>
        <v>264.55544817726945</v>
      </c>
      <c r="CF111" s="59">
        <f>CF42*CF69*0.036</f>
        <v>185.6159296875</v>
      </c>
      <c r="CG111" s="59">
        <f>CG42*CG69*0.036</f>
        <v>297.13946474459414</v>
      </c>
      <c r="CH111" s="59">
        <f>CH42*CH69*0.036</f>
        <v>177.14000326850791</v>
      </c>
      <c r="CI111" s="59">
        <f>CI42*Dashboard!CO60*0.036</f>
        <v>0</v>
      </c>
      <c r="CJ111" s="59">
        <f>CJ42*Dashboard!CP60*0.036</f>
        <v>0</v>
      </c>
      <c r="CK111" s="259">
        <f>CK42*Dashboard!CQ60*0.036</f>
        <v>0</v>
      </c>
      <c r="CL111" s="253"/>
      <c r="CN111" s="59">
        <f t="shared" ref="CN111:CT111" si="771">CN42*CN69*0.036</f>
        <v>18.04824935064935</v>
      </c>
      <c r="CO111" s="59">
        <f t="shared" si="771"/>
        <v>284.82807884658706</v>
      </c>
      <c r="CP111" s="59">
        <f t="shared" si="771"/>
        <v>305.8133722969024</v>
      </c>
      <c r="CQ111" s="59">
        <f t="shared" si="771"/>
        <v>228.11213809587039</v>
      </c>
      <c r="CR111" s="59">
        <f t="shared" si="771"/>
        <v>138.79084920457089</v>
      </c>
      <c r="CS111" s="59">
        <f t="shared" si="771"/>
        <v>0.94426229508196713</v>
      </c>
      <c r="CT111" s="59">
        <f t="shared" si="771"/>
        <v>5.540244897959183</v>
      </c>
      <c r="CU111" s="253"/>
      <c r="CW111" s="59">
        <f t="shared" ref="CW111:DC111" si="772">CW42*CW69*0.036</f>
        <v>333.06096253656693</v>
      </c>
      <c r="CX111" s="59">
        <f t="shared" si="772"/>
        <v>273.71751582208452</v>
      </c>
      <c r="CY111" s="59">
        <f t="shared" si="772"/>
        <v>264.27408895265415</v>
      </c>
      <c r="CZ111" s="59">
        <f t="shared" si="772"/>
        <v>271.85399604047512</v>
      </c>
      <c r="DA111" s="59">
        <f t="shared" si="772"/>
        <v>140.97255415617127</v>
      </c>
      <c r="DB111" s="59">
        <f t="shared" si="772"/>
        <v>11.5300206185567</v>
      </c>
      <c r="DC111" s="259">
        <f t="shared" si="772"/>
        <v>6.9789975186104201</v>
      </c>
      <c r="DD111" s="253"/>
      <c r="DF111" s="59">
        <f t="shared" ref="DF111:DL111" si="773">DF42*DF69*0.036</f>
        <v>277.32293181818181</v>
      </c>
      <c r="DG111" s="59">
        <f t="shared" si="773"/>
        <v>138.85169469220648</v>
      </c>
      <c r="DH111" s="59">
        <f t="shared" si="773"/>
        <v>204.7106604255319</v>
      </c>
      <c r="DI111" s="59">
        <f t="shared" si="773"/>
        <v>99.485277246653936</v>
      </c>
      <c r="DJ111" s="59" t="e">
        <f t="shared" si="773"/>
        <v>#DIV/0!</v>
      </c>
      <c r="DK111" s="59" t="e">
        <f t="shared" si="773"/>
        <v>#DIV/0!</v>
      </c>
      <c r="DL111" s="259" t="e">
        <f t="shared" si="773"/>
        <v>#DIV/0!</v>
      </c>
      <c r="DM111" s="253"/>
      <c r="DO111" s="59" t="e">
        <f t="shared" ref="DO111:DU111" si="774">DO42*DO69*0.036</f>
        <v>#DIV/0!</v>
      </c>
      <c r="DP111" s="59" t="e">
        <f t="shared" si="774"/>
        <v>#DIV/0!</v>
      </c>
      <c r="DQ111" s="59" t="e">
        <f t="shared" si="774"/>
        <v>#DIV/0!</v>
      </c>
      <c r="DR111" s="59" t="e">
        <f t="shared" si="774"/>
        <v>#DIV/0!</v>
      </c>
      <c r="DS111" s="59">
        <f t="shared" si="774"/>
        <v>0</v>
      </c>
      <c r="DT111" s="59">
        <f t="shared" si="774"/>
        <v>7.1163236842105251</v>
      </c>
      <c r="DU111" s="259">
        <f t="shared" si="774"/>
        <v>2.1456</v>
      </c>
      <c r="DV111" s="253"/>
      <c r="DX111" s="59">
        <f t="shared" ref="DX111:ED111" si="775">DX42*DX69*0.036</f>
        <v>6.0055714285714279</v>
      </c>
      <c r="DY111" s="59">
        <f t="shared" si="775"/>
        <v>30.645625263157893</v>
      </c>
      <c r="DZ111" s="59">
        <f t="shared" si="775"/>
        <v>256.85081721470021</v>
      </c>
      <c r="EA111" s="59">
        <f t="shared" si="775"/>
        <v>352.64042576687109</v>
      </c>
      <c r="EB111" s="59">
        <f t="shared" si="775"/>
        <v>0</v>
      </c>
      <c r="EC111" s="59">
        <f t="shared" si="775"/>
        <v>0</v>
      </c>
      <c r="ED111" s="259">
        <f t="shared" si="775"/>
        <v>0</v>
      </c>
      <c r="EE111" s="253"/>
      <c r="EG111" s="59">
        <f t="shared" ref="EG111:EM111" si="776">EG42*EG69*0.036</f>
        <v>0</v>
      </c>
      <c r="EH111" s="59">
        <f t="shared" si="776"/>
        <v>0</v>
      </c>
      <c r="EI111" s="59">
        <f t="shared" si="776"/>
        <v>0</v>
      </c>
      <c r="EJ111" s="59">
        <f t="shared" si="776"/>
        <v>0</v>
      </c>
      <c r="EK111" s="59">
        <f t="shared" si="776"/>
        <v>0</v>
      </c>
      <c r="EL111" s="59">
        <f t="shared" si="776"/>
        <v>0</v>
      </c>
      <c r="EM111" s="259">
        <f t="shared" si="776"/>
        <v>0</v>
      </c>
      <c r="EN111" s="253"/>
      <c r="EP111" s="59">
        <f t="shared" ref="EP111:EV111" si="777">EP42*EP69*0.036</f>
        <v>0</v>
      </c>
      <c r="EQ111" s="59">
        <f t="shared" si="777"/>
        <v>0</v>
      </c>
      <c r="ER111" s="59">
        <f t="shared" si="777"/>
        <v>0</v>
      </c>
      <c r="ES111" s="59">
        <f t="shared" si="777"/>
        <v>0</v>
      </c>
      <c r="ET111" s="59">
        <f t="shared" si="777"/>
        <v>0</v>
      </c>
      <c r="EU111" s="59">
        <f t="shared" si="777"/>
        <v>0</v>
      </c>
      <c r="EV111" s="259">
        <f t="shared" si="777"/>
        <v>0</v>
      </c>
      <c r="EW111" s="253"/>
    </row>
    <row r="112" spans="3:153" ht="16.5" customHeight="1" outlineLevel="1" x14ac:dyDescent="0.3">
      <c r="C112" s="612" t="s">
        <v>277</v>
      </c>
      <c r="D112" s="547" t="s">
        <v>278</v>
      </c>
      <c r="E112" s="548"/>
      <c r="F112" s="61"/>
      <c r="G112" s="64"/>
      <c r="BM112" s="59"/>
      <c r="BN112" s="59"/>
      <c r="BO112" s="59"/>
      <c r="BP112" s="59"/>
      <c r="BQ112" s="59"/>
      <c r="BR112" s="59"/>
      <c r="BS112" s="259"/>
      <c r="BT112" s="253"/>
      <c r="BV112" s="59"/>
      <c r="BW112" s="59"/>
      <c r="BX112" s="59"/>
      <c r="BY112" s="59"/>
      <c r="BZ112" s="59"/>
      <c r="CA112" s="59"/>
      <c r="CB112" s="259"/>
      <c r="CC112" s="253"/>
      <c r="CE112" s="59">
        <f t="shared" ref="CE112:CH113" si="778">CE43</f>
        <v>44.8</v>
      </c>
      <c r="CF112" s="59">
        <f t="shared" si="778"/>
        <v>41.71</v>
      </c>
      <c r="CG112" s="59">
        <f t="shared" si="778"/>
        <v>54.73</v>
      </c>
      <c r="CH112" s="59">
        <f t="shared" si="778"/>
        <v>36.57</v>
      </c>
      <c r="CI112" s="59"/>
      <c r="CJ112" s="59"/>
      <c r="CK112" s="259"/>
      <c r="CL112" s="253"/>
      <c r="CN112" s="59">
        <f t="shared" ref="CN112:CT113" si="779">CN43</f>
        <v>2.59</v>
      </c>
      <c r="CO112" s="59">
        <f t="shared" si="779"/>
        <v>52.57</v>
      </c>
      <c r="CP112" s="59">
        <f t="shared" si="779"/>
        <v>38.5</v>
      </c>
      <c r="CQ112" s="59">
        <f t="shared" si="779"/>
        <v>50.79</v>
      </c>
      <c r="CR112" s="59">
        <f t="shared" si="779"/>
        <v>38.270000000000003</v>
      </c>
      <c r="CS112" s="59">
        <f t="shared" si="779"/>
        <v>4.37</v>
      </c>
      <c r="CT112" s="59">
        <f t="shared" si="779"/>
        <v>2.27</v>
      </c>
      <c r="CU112" s="253"/>
      <c r="CW112" s="59">
        <f t="shared" ref="CW112:DC113" si="780">CW43</f>
        <v>62.7</v>
      </c>
      <c r="CX112" s="59">
        <f t="shared" si="780"/>
        <v>56.23</v>
      </c>
      <c r="CY112" s="59">
        <f t="shared" si="780"/>
        <v>57.86</v>
      </c>
      <c r="CZ112" s="59">
        <f t="shared" si="780"/>
        <v>59.09</v>
      </c>
      <c r="DA112" s="59">
        <f t="shared" si="780"/>
        <v>29.27</v>
      </c>
      <c r="DB112" s="59">
        <f t="shared" si="780"/>
        <v>12.48</v>
      </c>
      <c r="DC112" s="259">
        <f t="shared" si="780"/>
        <v>5.6</v>
      </c>
      <c r="DD112" s="253"/>
      <c r="DF112" s="59">
        <f t="shared" ref="DF112:DH112" si="781">DF43</f>
        <v>65.66</v>
      </c>
      <c r="DG112" s="59">
        <f t="shared" si="781"/>
        <v>34.450000000000003</v>
      </c>
      <c r="DH112" s="59">
        <f t="shared" si="781"/>
        <v>39.200000000000003</v>
      </c>
      <c r="DI112" s="59">
        <f>DI43</f>
        <v>28.01</v>
      </c>
      <c r="DJ112" s="59">
        <f t="shared" ref="DJ112:DL112" si="782">DJ43</f>
        <v>0</v>
      </c>
      <c r="DK112" s="59">
        <f t="shared" si="782"/>
        <v>0</v>
      </c>
      <c r="DL112" s="259">
        <f t="shared" si="782"/>
        <v>0</v>
      </c>
      <c r="DM112" s="253"/>
      <c r="DO112" s="59">
        <f t="shared" ref="DO112:DQ112" si="783">DO43</f>
        <v>0</v>
      </c>
      <c r="DP112" s="59">
        <f t="shared" si="783"/>
        <v>0</v>
      </c>
      <c r="DQ112" s="59">
        <f t="shared" si="783"/>
        <v>0</v>
      </c>
      <c r="DR112" s="59">
        <f>DR43</f>
        <v>0</v>
      </c>
      <c r="DS112" s="59">
        <f t="shared" ref="DS112:DU112" si="784">DS43</f>
        <v>0</v>
      </c>
      <c r="DT112" s="59">
        <f t="shared" si="784"/>
        <v>8.1199999999999992</v>
      </c>
      <c r="DU112" s="259">
        <f t="shared" si="784"/>
        <v>5.51</v>
      </c>
      <c r="DV112" s="253"/>
      <c r="DX112" s="59">
        <f t="shared" ref="DX112:DZ112" si="785">DX43</f>
        <v>19.100000000000001</v>
      </c>
      <c r="DY112" s="59">
        <f t="shared" si="785"/>
        <v>23.46</v>
      </c>
      <c r="DZ112" s="59">
        <f t="shared" si="785"/>
        <v>59.27</v>
      </c>
      <c r="EA112" s="59">
        <f>EA43</f>
        <v>74.709999999999994</v>
      </c>
      <c r="EB112" s="59">
        <f t="shared" ref="EB112:ED112" si="786">EB43</f>
        <v>0</v>
      </c>
      <c r="EC112" s="59">
        <f t="shared" si="786"/>
        <v>0</v>
      </c>
      <c r="ED112" s="259">
        <f t="shared" si="786"/>
        <v>0</v>
      </c>
      <c r="EE112" s="253"/>
      <c r="EG112" s="59">
        <f t="shared" ref="EG112:EI112" si="787">EG43</f>
        <v>0</v>
      </c>
      <c r="EH112" s="59">
        <f t="shared" si="787"/>
        <v>0</v>
      </c>
      <c r="EI112" s="59">
        <f t="shared" si="787"/>
        <v>0</v>
      </c>
      <c r="EJ112" s="59">
        <f>EJ43</f>
        <v>0</v>
      </c>
      <c r="EK112" s="59">
        <f t="shared" ref="EK112:EM112" si="788">EK43</f>
        <v>0</v>
      </c>
      <c r="EL112" s="59">
        <f t="shared" si="788"/>
        <v>0</v>
      </c>
      <c r="EM112" s="259">
        <f t="shared" si="788"/>
        <v>0</v>
      </c>
      <c r="EN112" s="253"/>
      <c r="EP112" s="59">
        <f t="shared" ref="EP112:ER112" si="789">EP43</f>
        <v>0</v>
      </c>
      <c r="EQ112" s="59">
        <f t="shared" si="789"/>
        <v>0</v>
      </c>
      <c r="ER112" s="59">
        <f t="shared" si="789"/>
        <v>0</v>
      </c>
      <c r="ES112" s="59">
        <f>ES43</f>
        <v>0</v>
      </c>
      <c r="ET112" s="59">
        <f t="shared" ref="ET112:EV112" si="790">ET43</f>
        <v>0</v>
      </c>
      <c r="EU112" s="59">
        <f t="shared" si="790"/>
        <v>0</v>
      </c>
      <c r="EV112" s="259">
        <f t="shared" si="790"/>
        <v>0</v>
      </c>
      <c r="EW112" s="253"/>
    </row>
    <row r="113" spans="3:153" ht="15.75" customHeight="1" outlineLevel="1" thickBot="1" x14ac:dyDescent="0.35">
      <c r="C113" s="612" t="s">
        <v>344</v>
      </c>
      <c r="D113" s="563" t="s">
        <v>46</v>
      </c>
      <c r="E113" s="564"/>
      <c r="F113" s="61"/>
      <c r="G113" s="64" t="s">
        <v>37</v>
      </c>
      <c r="BM113" s="59">
        <f t="shared" ref="BM113:BS113" si="791">BM44</f>
        <v>19719.54</v>
      </c>
      <c r="BN113" s="59">
        <f t="shared" si="791"/>
        <v>17310.77</v>
      </c>
      <c r="BO113" s="59">
        <f t="shared" si="791"/>
        <v>18435.810000000001</v>
      </c>
      <c r="BP113" s="59">
        <f t="shared" si="791"/>
        <v>17517.22</v>
      </c>
      <c r="BQ113" s="59">
        <f t="shared" si="791"/>
        <v>13170.46</v>
      </c>
      <c r="BR113" s="59">
        <f t="shared" si="791"/>
        <v>14881.51</v>
      </c>
      <c r="BS113" s="259">
        <f t="shared" si="791"/>
        <v>7678.59</v>
      </c>
      <c r="BT113" s="253"/>
      <c r="BV113" s="59">
        <f t="shared" ref="BV113:CB113" si="792">BV44</f>
        <v>22899.06</v>
      </c>
      <c r="BW113" s="59">
        <f t="shared" si="792"/>
        <v>23347.63</v>
      </c>
      <c r="BX113" s="59">
        <f t="shared" si="792"/>
        <v>18385.84</v>
      </c>
      <c r="BY113" s="59">
        <f t="shared" si="792"/>
        <v>19827.64</v>
      </c>
      <c r="BZ113" s="59">
        <f t="shared" si="792"/>
        <v>14310.17</v>
      </c>
      <c r="CA113" s="59">
        <f t="shared" si="792"/>
        <v>9950.4699999999993</v>
      </c>
      <c r="CB113" s="259">
        <f t="shared" si="792"/>
        <v>10036.91</v>
      </c>
      <c r="CC113" s="253"/>
      <c r="CE113" s="59">
        <f t="shared" si="778"/>
        <v>0</v>
      </c>
      <c r="CF113" s="59">
        <f t="shared" si="778"/>
        <v>20806.73</v>
      </c>
      <c r="CG113" s="59">
        <f t="shared" si="778"/>
        <v>24972.63</v>
      </c>
      <c r="CH113" s="59">
        <f t="shared" si="778"/>
        <v>21370.28</v>
      </c>
      <c r="CI113" s="59">
        <f>CI44</f>
        <v>13364</v>
      </c>
      <c r="CJ113" s="59">
        <f>CJ44</f>
        <v>9210</v>
      </c>
      <c r="CK113" s="259">
        <f>CK44</f>
        <v>7348</v>
      </c>
      <c r="CL113" s="253"/>
      <c r="CN113" s="59">
        <f t="shared" si="779"/>
        <v>8010</v>
      </c>
      <c r="CO113" s="59">
        <f t="shared" si="779"/>
        <v>23023.07</v>
      </c>
      <c r="CP113" s="59">
        <f t="shared" si="779"/>
        <v>17584.48</v>
      </c>
      <c r="CQ113" s="59">
        <f t="shared" si="779"/>
        <v>23701.83</v>
      </c>
      <c r="CR113" s="59">
        <f t="shared" si="779"/>
        <v>17813.32</v>
      </c>
      <c r="CS113" s="59">
        <f t="shared" si="779"/>
        <v>12705.37</v>
      </c>
      <c r="CT113" s="259">
        <f t="shared" si="779"/>
        <v>10201.94</v>
      </c>
      <c r="CU113" s="253"/>
      <c r="CW113" s="59">
        <f t="shared" si="780"/>
        <v>25218.79</v>
      </c>
      <c r="CX113" s="59">
        <f t="shared" si="780"/>
        <v>17584.48</v>
      </c>
      <c r="CY113" s="59">
        <f t="shared" si="780"/>
        <v>26102.43</v>
      </c>
      <c r="CZ113" s="59">
        <f t="shared" si="780"/>
        <v>22915</v>
      </c>
      <c r="DA113" s="59">
        <f t="shared" si="780"/>
        <v>15301.68</v>
      </c>
      <c r="DB113" s="59">
        <f t="shared" si="780"/>
        <v>11270.28</v>
      </c>
      <c r="DC113" s="259">
        <f t="shared" si="780"/>
        <v>10633.91</v>
      </c>
      <c r="DD113" s="253"/>
      <c r="DF113" s="59">
        <f t="shared" ref="DF113:DH113" si="793">DF44</f>
        <v>23080.99</v>
      </c>
      <c r="DG113" s="59">
        <f t="shared" si="793"/>
        <v>20281.189999999999</v>
      </c>
      <c r="DH113" s="59">
        <f t="shared" si="793"/>
        <v>21178.38</v>
      </c>
      <c r="DI113" s="59">
        <f>DI44</f>
        <v>17821.310000000001</v>
      </c>
      <c r="DJ113" s="59">
        <f t="shared" ref="DJ113:DL113" si="794">DJ44</f>
        <v>0</v>
      </c>
      <c r="DK113" s="59">
        <f t="shared" si="794"/>
        <v>0</v>
      </c>
      <c r="DL113" s="259">
        <f t="shared" si="794"/>
        <v>0</v>
      </c>
      <c r="DM113" s="253"/>
      <c r="DO113" s="59">
        <f t="shared" ref="DO113:DQ113" si="795">DO44</f>
        <v>0</v>
      </c>
      <c r="DP113" s="59">
        <f t="shared" si="795"/>
        <v>0</v>
      </c>
      <c r="DQ113" s="59">
        <f t="shared" si="795"/>
        <v>0</v>
      </c>
      <c r="DR113" s="59">
        <f>DR44</f>
        <v>0</v>
      </c>
      <c r="DS113" s="59">
        <f t="shared" ref="DS113:DU113" si="796">DS44</f>
        <v>38</v>
      </c>
      <c r="DT113" s="59">
        <f t="shared" si="796"/>
        <v>0</v>
      </c>
      <c r="DU113" s="259">
        <f t="shared" si="796"/>
        <v>0</v>
      </c>
      <c r="DV113" s="253"/>
      <c r="DX113" s="59">
        <f t="shared" ref="DX113:DZ113" si="797">DX44</f>
        <v>7201.1</v>
      </c>
      <c r="DY113" s="59">
        <f t="shared" si="797"/>
        <v>9178.26</v>
      </c>
      <c r="DZ113" s="59">
        <f t="shared" si="797"/>
        <v>20116.900000000001</v>
      </c>
      <c r="EA113" s="59">
        <f>EA44</f>
        <v>22872.65</v>
      </c>
      <c r="EB113" s="59">
        <f t="shared" ref="EB113:ED113" si="798">EB44</f>
        <v>0</v>
      </c>
      <c r="EC113" s="59">
        <f t="shared" si="798"/>
        <v>0</v>
      </c>
      <c r="ED113" s="259">
        <f t="shared" si="798"/>
        <v>0</v>
      </c>
      <c r="EE113" s="253"/>
      <c r="EG113" s="59">
        <f t="shared" ref="EG113:EI113" si="799">EG44</f>
        <v>0</v>
      </c>
      <c r="EH113" s="59">
        <f t="shared" si="799"/>
        <v>0</v>
      </c>
      <c r="EI113" s="59">
        <f t="shared" si="799"/>
        <v>0</v>
      </c>
      <c r="EJ113" s="59">
        <f>EJ44</f>
        <v>0</v>
      </c>
      <c r="EK113" s="59">
        <f t="shared" ref="EK113:EM113" si="800">EK44</f>
        <v>0</v>
      </c>
      <c r="EL113" s="59">
        <f t="shared" si="800"/>
        <v>0</v>
      </c>
      <c r="EM113" s="259">
        <f t="shared" si="800"/>
        <v>0</v>
      </c>
      <c r="EN113" s="253"/>
      <c r="EP113" s="59">
        <f t="shared" ref="EP113:ER113" si="801">EP44</f>
        <v>0</v>
      </c>
      <c r="EQ113" s="59">
        <f t="shared" si="801"/>
        <v>0</v>
      </c>
      <c r="ER113" s="59">
        <f t="shared" si="801"/>
        <v>0</v>
      </c>
      <c r="ES113" s="59">
        <f>ES44</f>
        <v>0</v>
      </c>
      <c r="ET113" s="59">
        <f t="shared" ref="ET113:EV113" si="802">ET44</f>
        <v>0</v>
      </c>
      <c r="EU113" s="59">
        <f t="shared" si="802"/>
        <v>0</v>
      </c>
      <c r="EV113" s="259">
        <f t="shared" si="802"/>
        <v>0</v>
      </c>
      <c r="EW113" s="253"/>
    </row>
    <row r="114" spans="3:153" ht="15.75" customHeight="1" outlineLevel="1" x14ac:dyDescent="0.3">
      <c r="C114" s="605" t="s">
        <v>345</v>
      </c>
      <c r="D114" s="561" t="s">
        <v>48</v>
      </c>
      <c r="E114" s="562"/>
      <c r="F114" s="61"/>
      <c r="G114" s="62" t="s">
        <v>37</v>
      </c>
      <c r="BM114" s="59">
        <f>Dashboard!BS56*0.0036+Dashboard!BS57*0.036</f>
        <v>293.65063199999997</v>
      </c>
      <c r="BN114" s="59">
        <f>Dashboard!BT56*0.0036+Dashboard!BT57*0.036</f>
        <v>255.38849999999996</v>
      </c>
      <c r="BO114" s="59">
        <f>Dashboard!BU56*0.0036+Dashboard!BU57*0.036</f>
        <v>444.13646399999999</v>
      </c>
      <c r="BP114" s="59">
        <f>Dashboard!BV56*0.0036+Dashboard!BV57*0.036</f>
        <v>345.63941999999997</v>
      </c>
      <c r="BQ114" s="59">
        <f>Dashboard!BW56*0.0036+Dashboard!BW57*0.036</f>
        <v>151.69878</v>
      </c>
      <c r="BR114" s="59">
        <f>Dashboard!BX56*0.0036+Dashboard!BX57*0.036</f>
        <v>99.754307999999995</v>
      </c>
      <c r="BS114" s="260"/>
      <c r="BT114" s="254"/>
      <c r="BV114" s="59">
        <f>Dashboard!CB56*0.0036+Dashboard!CB57*0.036</f>
        <v>367.71624000000003</v>
      </c>
      <c r="BW114" s="59">
        <f>Dashboard!CC56*0.0036+Dashboard!CC57*0.036</f>
        <v>318.024</v>
      </c>
      <c r="BX114" s="59">
        <f>Dashboard!CD56*0.0036+Dashboard!CD57*0.036</f>
        <v>225.17999999999998</v>
      </c>
      <c r="BY114" s="59">
        <f>Dashboard!CE56*0.0036+Dashboard!CE57*0.036</f>
        <v>315.61606799999998</v>
      </c>
      <c r="BZ114" s="59">
        <f>Dashboard!CF56*0.0036+Dashboard!CF57*0.036</f>
        <v>158.651928</v>
      </c>
      <c r="CA114" s="59">
        <f>Dashboard!CG56*0.0036+Dashboard!CG57*0.036</f>
        <v>7.9751879999999993</v>
      </c>
      <c r="CB114" s="260"/>
      <c r="CC114" s="254"/>
      <c r="CE114" s="59">
        <f>Dashboard!CK56*0.0036+Dashboard!CK57*0.036</f>
        <v>306.21599999999995</v>
      </c>
      <c r="CF114" s="59">
        <f>CF65*0.0036+CF66*0.036</f>
        <v>228.75170399999999</v>
      </c>
      <c r="CG114" s="59">
        <f>CG65*0.0036+CG66*0.036</f>
        <v>340.89886799999999</v>
      </c>
      <c r="CH114" s="59">
        <f>CH65*0.0036+CH66*0.036</f>
        <v>230.11844399999998</v>
      </c>
      <c r="CI114" s="59">
        <f>Dashboard!CO56*0.0036+Dashboard!CO57*0.036</f>
        <v>0</v>
      </c>
      <c r="CJ114" s="59">
        <f>Dashboard!CP56*0.0036+Dashboard!CP57*0.036</f>
        <v>0</v>
      </c>
      <c r="CK114" s="260"/>
      <c r="CL114" s="254"/>
      <c r="CN114" s="59">
        <f>Dashboard!CT56*0.0036+Dashboard!CT57*0.036</f>
        <v>0</v>
      </c>
      <c r="CO114" s="59">
        <f t="shared" ref="CO114:CT114" si="803">CO65*0.0036+CO66*0.036</f>
        <v>320.13442799999996</v>
      </c>
      <c r="CP114" s="59">
        <f t="shared" si="803"/>
        <v>363.07047599999999</v>
      </c>
      <c r="CQ114" s="59">
        <f t="shared" si="803"/>
        <v>286.58390399999996</v>
      </c>
      <c r="CR114" s="59">
        <f t="shared" si="803"/>
        <v>163.310832</v>
      </c>
      <c r="CS114" s="59">
        <f t="shared" si="803"/>
        <v>6.2749079999999999</v>
      </c>
      <c r="CT114" s="59">
        <f t="shared" si="803"/>
        <v>13.367915999999999</v>
      </c>
      <c r="CU114" s="254"/>
      <c r="CW114" s="59">
        <f>Dashboard!DC56*0.0036+Dashboard!DC57*0.036</f>
        <v>0</v>
      </c>
      <c r="CX114" s="59">
        <f t="shared" ref="CX114:DC114" si="804">CX65*0.0036+CX66*0.036</f>
        <v>331.21666799999997</v>
      </c>
      <c r="CY114" s="59">
        <f t="shared" si="804"/>
        <v>306.06843599999996</v>
      </c>
      <c r="CZ114" s="59">
        <f>CZ65*0.0036+CZ66*0.036</f>
        <v>306.82436399999995</v>
      </c>
      <c r="DA114" s="59">
        <f t="shared" si="804"/>
        <v>178.65381599999998</v>
      </c>
      <c r="DB114" s="59">
        <f t="shared" si="804"/>
        <v>36.124559999999995</v>
      </c>
      <c r="DC114" s="259">
        <f t="shared" si="804"/>
        <v>16.643339999999998</v>
      </c>
      <c r="DD114" s="254"/>
      <c r="DF114" s="59">
        <f>DF65*0.0036+DF66*0.036</f>
        <v>330.58537200000001</v>
      </c>
      <c r="DG114" s="59">
        <f t="shared" ref="DG114:DH114" si="805">DG65*0.0036+DG66*0.036</f>
        <v>266.68771199999998</v>
      </c>
      <c r="DH114" s="59">
        <f t="shared" si="805"/>
        <v>268.34425200000004</v>
      </c>
      <c r="DI114" s="59">
        <f>DI65*0.0036+DI66*0.036</f>
        <v>105.21536399999999</v>
      </c>
      <c r="DJ114" s="59">
        <f t="shared" ref="DJ114:DL114" si="806">DJ65*0.0036+DJ66*0.036</f>
        <v>0</v>
      </c>
      <c r="DK114" s="59">
        <f t="shared" si="806"/>
        <v>0</v>
      </c>
      <c r="DL114" s="259">
        <f t="shared" si="806"/>
        <v>0</v>
      </c>
      <c r="DM114" s="254"/>
      <c r="DO114" s="59">
        <f>DO65*0.0036+DO66*0.036</f>
        <v>0</v>
      </c>
      <c r="DP114" s="59">
        <f t="shared" ref="DP114:DQ114" si="807">DP65*0.0036+DP66*0.036</f>
        <v>0</v>
      </c>
      <c r="DQ114" s="59">
        <f t="shared" si="807"/>
        <v>0</v>
      </c>
      <c r="DR114" s="59">
        <f>DR65*0.0036+DR66*0.036</f>
        <v>0</v>
      </c>
      <c r="DS114" s="59">
        <f t="shared" ref="DS114:DU114" si="808">DS65*0.0036+DS66*0.036</f>
        <v>36.181871999999991</v>
      </c>
      <c r="DT114" s="59">
        <f t="shared" si="808"/>
        <v>10.032299999999998</v>
      </c>
      <c r="DU114" s="259">
        <f t="shared" si="808"/>
        <v>5.8111199999999998</v>
      </c>
      <c r="DV114" s="254"/>
      <c r="DX114" s="59">
        <f>DX65*0.0036+DX66*0.036</f>
        <v>6.67746</v>
      </c>
      <c r="DY114" s="59">
        <f t="shared" ref="DY114:DZ114" si="809">DY65*0.0036+DY66*0.036</f>
        <v>34.536671999999996</v>
      </c>
      <c r="DZ114" s="59">
        <f t="shared" si="809"/>
        <v>250.42906799999997</v>
      </c>
      <c r="EA114" s="59">
        <f>EA65*0.0036+EA66*0.036</f>
        <v>339.47978399999994</v>
      </c>
      <c r="EB114" s="59">
        <f t="shared" ref="EB114:ED114" si="810">EB65*0.0036+EB66*0.036</f>
        <v>0</v>
      </c>
      <c r="EC114" s="59">
        <f t="shared" si="810"/>
        <v>0</v>
      </c>
      <c r="ED114" s="259">
        <f t="shared" si="810"/>
        <v>0</v>
      </c>
      <c r="EE114" s="254"/>
      <c r="EG114" s="59">
        <f>EG65*0.0036+EG66*0.036</f>
        <v>0</v>
      </c>
      <c r="EH114" s="59">
        <f t="shared" ref="EH114:EI114" si="811">EH65*0.0036+EH66*0.036</f>
        <v>0</v>
      </c>
      <c r="EI114" s="59">
        <f t="shared" si="811"/>
        <v>0</v>
      </c>
      <c r="EJ114" s="59">
        <f>EJ65*0.0036+EJ66*0.036</f>
        <v>0</v>
      </c>
      <c r="EK114" s="59">
        <f t="shared" ref="EK114:EM114" si="812">EK65*0.0036+EK66*0.036</f>
        <v>0</v>
      </c>
      <c r="EL114" s="59">
        <f t="shared" si="812"/>
        <v>0</v>
      </c>
      <c r="EM114" s="259">
        <f t="shared" si="812"/>
        <v>0</v>
      </c>
      <c r="EN114" s="254"/>
      <c r="EP114" s="59">
        <f>EP65*0.0036+EP66*0.036</f>
        <v>0</v>
      </c>
      <c r="EQ114" s="59">
        <f t="shared" ref="EQ114:ER114" si="813">EQ65*0.0036+EQ66*0.036</f>
        <v>0</v>
      </c>
      <c r="ER114" s="59">
        <f t="shared" si="813"/>
        <v>0</v>
      </c>
      <c r="ES114" s="59">
        <f>ES65*0.0036+ES66*0.036</f>
        <v>0</v>
      </c>
      <c r="ET114" s="59">
        <f t="shared" ref="ET114:EV114" si="814">ET65*0.0036+ET66*0.036</f>
        <v>0</v>
      </c>
      <c r="EU114" s="59">
        <f t="shared" si="814"/>
        <v>0</v>
      </c>
      <c r="EV114" s="259">
        <f t="shared" si="814"/>
        <v>0</v>
      </c>
      <c r="EW114" s="254"/>
    </row>
    <row r="115" spans="3:153" ht="15.75" customHeight="1" outlineLevel="1" x14ac:dyDescent="0.3">
      <c r="C115" s="606" t="s">
        <v>346</v>
      </c>
      <c r="D115" s="561" t="s">
        <v>49</v>
      </c>
      <c r="E115" s="562"/>
      <c r="F115" s="61"/>
      <c r="G115" s="64" t="s">
        <v>37</v>
      </c>
      <c r="BM115" s="59">
        <f>Dashboard!BS67</f>
        <v>5429.98</v>
      </c>
      <c r="BN115" s="59">
        <f>Dashboard!BT67</f>
        <v>5702.84</v>
      </c>
      <c r="BO115" s="59">
        <f>Dashboard!BU67</f>
        <v>2295.59</v>
      </c>
      <c r="BP115" s="59">
        <f>Dashboard!BV67</f>
        <v>2315.31</v>
      </c>
      <c r="BQ115" s="59">
        <f>Dashboard!BW67</f>
        <v>2669</v>
      </c>
      <c r="BR115" s="59">
        <f>Dashboard!BX67</f>
        <v>2053</v>
      </c>
      <c r="BS115" s="259">
        <f>Dashboard!BY67</f>
        <v>455.58</v>
      </c>
      <c r="BT115" s="253"/>
      <c r="BV115" s="59">
        <f>Dashboard!CB67</f>
        <v>6886.31</v>
      </c>
      <c r="BW115" s="59">
        <f>Dashboard!CC67</f>
        <v>7068.38</v>
      </c>
      <c r="BX115" s="59">
        <f>Dashboard!CD67</f>
        <v>7000</v>
      </c>
      <c r="BY115" s="59">
        <f>Dashboard!CE67</f>
        <v>4770.7</v>
      </c>
      <c r="BZ115" s="59">
        <f>Dashboard!CF67</f>
        <v>3483.61</v>
      </c>
      <c r="CA115" s="59">
        <f>Dashboard!CG67</f>
        <v>197.09</v>
      </c>
      <c r="CB115" s="259">
        <f>Dashboard!CH67</f>
        <v>179.41</v>
      </c>
      <c r="CC115" s="253"/>
      <c r="CE115" s="59">
        <f>Dashboard!CK67</f>
        <v>746.72</v>
      </c>
      <c r="CF115" s="59">
        <f>CF73</f>
        <v>13274.73</v>
      </c>
      <c r="CG115" s="59">
        <f>CG73</f>
        <v>7376.33</v>
      </c>
      <c r="CH115" s="59">
        <f>CH73</f>
        <v>7505.84</v>
      </c>
      <c r="CI115" s="59">
        <f>Dashboard!CO67</f>
        <v>0</v>
      </c>
      <c r="CJ115" s="59">
        <f>Dashboard!CP67</f>
        <v>0</v>
      </c>
      <c r="CK115" s="259">
        <f>Dashboard!CQ67</f>
        <v>0</v>
      </c>
      <c r="CL115" s="253"/>
      <c r="CN115" s="59">
        <f>Dashboard!CT67</f>
        <v>0</v>
      </c>
      <c r="CO115" s="59">
        <f t="shared" ref="CO115:CT115" si="815">CO73</f>
        <v>9739.8799999999992</v>
      </c>
      <c r="CP115" s="59">
        <f t="shared" si="815"/>
        <v>8514.5499999999993</v>
      </c>
      <c r="CQ115" s="59">
        <f t="shared" si="815"/>
        <v>11893.53</v>
      </c>
      <c r="CR115" s="59">
        <f t="shared" si="815"/>
        <v>7407.14</v>
      </c>
      <c r="CS115" s="59">
        <f t="shared" si="815"/>
        <v>3759.98</v>
      </c>
      <c r="CT115" s="59">
        <f t="shared" si="815"/>
        <v>1748.11</v>
      </c>
      <c r="CU115" s="253"/>
      <c r="CW115" s="59">
        <f>Dashboard!DC67</f>
        <v>0</v>
      </c>
      <c r="CX115" s="59">
        <f t="shared" ref="CX115:DC115" si="816">CX73</f>
        <v>22083.05</v>
      </c>
      <c r="CY115" s="59">
        <f t="shared" si="816"/>
        <v>14047.92</v>
      </c>
      <c r="CZ115" s="59">
        <f>CZ73</f>
        <v>12482.86</v>
      </c>
      <c r="DA115" s="59">
        <f t="shared" si="816"/>
        <v>12134.38</v>
      </c>
      <c r="DB115" s="59">
        <f t="shared" si="816"/>
        <v>8183.66</v>
      </c>
      <c r="DC115" s="259">
        <f t="shared" si="816"/>
        <v>3970.8</v>
      </c>
      <c r="DD115" s="253"/>
      <c r="DF115" s="59">
        <f>DF73</f>
        <v>9470.2999999999993</v>
      </c>
      <c r="DG115" s="59">
        <f t="shared" ref="DG115:DH115" si="817">DG73</f>
        <v>8529.4500000000007</v>
      </c>
      <c r="DH115" s="59">
        <f t="shared" si="817"/>
        <v>9106.25</v>
      </c>
      <c r="DI115" s="59">
        <f>DI73</f>
        <v>6900.92</v>
      </c>
      <c r="DJ115" s="59">
        <f t="shared" ref="DJ115:DL115" si="818">DJ73</f>
        <v>0</v>
      </c>
      <c r="DK115" s="59">
        <f t="shared" si="818"/>
        <v>0</v>
      </c>
      <c r="DL115" s="259">
        <f t="shared" si="818"/>
        <v>0</v>
      </c>
      <c r="DM115" s="253"/>
      <c r="DO115" s="59">
        <f>DO73</f>
        <v>0</v>
      </c>
      <c r="DP115" s="59">
        <f t="shared" ref="DP115:DQ115" si="819">DP73</f>
        <v>0</v>
      </c>
      <c r="DQ115" s="59">
        <f t="shared" si="819"/>
        <v>0</v>
      </c>
      <c r="DR115" s="59">
        <f>DR73</f>
        <v>0</v>
      </c>
      <c r="DS115" s="59">
        <f t="shared" ref="DS115:DU115" si="820">DS73</f>
        <v>4586.8100000000004</v>
      </c>
      <c r="DT115" s="59">
        <f t="shared" si="820"/>
        <v>4578.38</v>
      </c>
      <c r="DU115" s="259">
        <f t="shared" si="820"/>
        <v>4771.78</v>
      </c>
      <c r="DV115" s="253"/>
      <c r="DX115" s="59">
        <f>DX73</f>
        <v>5436.91</v>
      </c>
      <c r="DY115" s="59">
        <f t="shared" ref="DY115:DZ115" si="821">DY73</f>
        <v>5921.81</v>
      </c>
      <c r="DZ115" s="59">
        <f t="shared" si="821"/>
        <v>3601.13</v>
      </c>
      <c r="EA115" s="59">
        <f>EA73</f>
        <v>6767.69</v>
      </c>
      <c r="EB115" s="59">
        <f t="shared" ref="EB115:ED115" si="822">EB73</f>
        <v>0</v>
      </c>
      <c r="EC115" s="59">
        <f t="shared" si="822"/>
        <v>0</v>
      </c>
      <c r="ED115" s="259">
        <f t="shared" si="822"/>
        <v>0</v>
      </c>
      <c r="EE115" s="253"/>
      <c r="EG115" s="59">
        <f>EG73</f>
        <v>0</v>
      </c>
      <c r="EH115" s="59">
        <f t="shared" ref="EH115:EI115" si="823">EH73</f>
        <v>0</v>
      </c>
      <c r="EI115" s="59">
        <f t="shared" si="823"/>
        <v>0</v>
      </c>
      <c r="EJ115" s="59">
        <f>EJ73</f>
        <v>0</v>
      </c>
      <c r="EK115" s="59">
        <f t="shared" ref="EK115:EM115" si="824">EK73</f>
        <v>0</v>
      </c>
      <c r="EL115" s="59">
        <f t="shared" si="824"/>
        <v>0</v>
      </c>
      <c r="EM115" s="259">
        <f t="shared" si="824"/>
        <v>0</v>
      </c>
      <c r="EN115" s="253"/>
      <c r="EP115" s="59">
        <f>EP73</f>
        <v>0</v>
      </c>
      <c r="EQ115" s="59">
        <f t="shared" ref="EQ115:ER115" si="825">EQ73</f>
        <v>0</v>
      </c>
      <c r="ER115" s="59">
        <f t="shared" si="825"/>
        <v>0</v>
      </c>
      <c r="ES115" s="59">
        <f>ES73</f>
        <v>0</v>
      </c>
      <c r="ET115" s="59">
        <f t="shared" ref="ET115:EV115" si="826">ET73</f>
        <v>0</v>
      </c>
      <c r="EU115" s="59">
        <f t="shared" si="826"/>
        <v>0</v>
      </c>
      <c r="EV115" s="259">
        <f t="shared" si="826"/>
        <v>0</v>
      </c>
      <c r="EW115" s="253"/>
    </row>
    <row r="116" spans="3:153" ht="16.5" customHeight="1" outlineLevel="1" x14ac:dyDescent="0.3">
      <c r="C116" s="607" t="s">
        <v>347</v>
      </c>
      <c r="D116" s="561" t="s">
        <v>50</v>
      </c>
      <c r="E116" s="562"/>
      <c r="F116" s="61"/>
      <c r="G116" s="62" t="s">
        <v>37</v>
      </c>
      <c r="BM116" s="59">
        <f>Dashboard!BS73+Dashboard!BS74</f>
        <v>3848.75</v>
      </c>
      <c r="BN116" s="59">
        <f>Dashboard!BT73+Dashboard!BT74</f>
        <v>3630.98</v>
      </c>
      <c r="BO116" s="59">
        <f>Dashboard!BU73+Dashboard!BU74</f>
        <v>3736.21</v>
      </c>
      <c r="BP116" s="59">
        <f>Dashboard!BV73+Dashboard!BV74</f>
        <v>3271.7799999999997</v>
      </c>
      <c r="BQ116" s="59">
        <f>Dashboard!BW73+Dashboard!BW74</f>
        <v>2849.41</v>
      </c>
      <c r="BR116" s="59">
        <f>Dashboard!BX73+Dashboard!BX74</f>
        <v>1609.6</v>
      </c>
      <c r="BS116" s="259">
        <f>Dashboard!BY73+Dashboard!BY74</f>
        <v>271.38</v>
      </c>
      <c r="BT116" s="253"/>
      <c r="BV116" s="59">
        <f>Dashboard!CB73+Dashboard!CB74</f>
        <v>1762.4099999999999</v>
      </c>
      <c r="BW116" s="59">
        <f>Dashboard!CC73+Dashboard!CC74</f>
        <v>0</v>
      </c>
      <c r="BX116" s="59">
        <f>Dashboard!CD73+Dashboard!CD74</f>
        <v>2000</v>
      </c>
      <c r="BY116" s="59">
        <f>Dashboard!CE73+Dashboard!CE74</f>
        <v>3712.25</v>
      </c>
      <c r="BZ116" s="59">
        <f>Dashboard!CF73+Dashboard!CF74</f>
        <v>2699.7200000000003</v>
      </c>
      <c r="CA116" s="59">
        <f>Dashboard!CG73+Dashboard!CG74</f>
        <v>1461.77</v>
      </c>
      <c r="CB116" s="259">
        <f>Dashboard!CH73+Dashboard!CH74</f>
        <v>210.32</v>
      </c>
      <c r="CC116" s="253"/>
      <c r="CE116" s="59">
        <f>Dashboard!CK73+Dashboard!CK74</f>
        <v>0</v>
      </c>
      <c r="CF116" s="59">
        <f>CF78+CF79</f>
        <v>3712.25</v>
      </c>
      <c r="CG116" s="59">
        <f>CG78+CG79</f>
        <v>3906.04</v>
      </c>
      <c r="CH116" s="59">
        <f>CH78+CH79</f>
        <v>3564.75</v>
      </c>
      <c r="CI116" s="59">
        <f>Dashboard!CO73+Dashboard!CO74</f>
        <v>0</v>
      </c>
      <c r="CJ116" s="59">
        <f>Dashboard!CP73+Dashboard!CP74</f>
        <v>0</v>
      </c>
      <c r="CK116" s="259">
        <f>Dashboard!CQ73+Dashboard!CQ74</f>
        <v>0</v>
      </c>
      <c r="CL116" s="253"/>
      <c r="CN116" s="59">
        <f>Dashboard!CT73+Dashboard!CT74</f>
        <v>0</v>
      </c>
      <c r="CO116" s="59">
        <f t="shared" ref="CO116:CT116" si="827">CO78+CO79</f>
        <v>3620.36</v>
      </c>
      <c r="CP116" s="59">
        <f t="shared" si="827"/>
        <v>2829.8599999999997</v>
      </c>
      <c r="CQ116" s="59">
        <f t="shared" si="827"/>
        <v>3642.7400000000002</v>
      </c>
      <c r="CR116" s="59">
        <f t="shared" si="827"/>
        <v>2717.58</v>
      </c>
      <c r="CS116" s="59">
        <f t="shared" si="827"/>
        <v>1515.69</v>
      </c>
      <c r="CT116" s="59">
        <f t="shared" si="827"/>
        <v>637.58000000000004</v>
      </c>
      <c r="CU116" s="253"/>
      <c r="CW116" s="59">
        <f>Dashboard!DC73+Dashboard!DC74</f>
        <v>0</v>
      </c>
      <c r="CX116" s="59">
        <f t="shared" ref="CX116:DC116" si="828">CX78+CX79</f>
        <v>3620.36</v>
      </c>
      <c r="CY116" s="59">
        <f t="shared" si="828"/>
        <v>3957.12</v>
      </c>
      <c r="CZ116" s="59">
        <f t="shared" si="828"/>
        <v>3530.8499999999995</v>
      </c>
      <c r="DA116" s="59">
        <f t="shared" si="828"/>
        <v>2940.02</v>
      </c>
      <c r="DB116" s="59">
        <f t="shared" si="828"/>
        <v>1870.15</v>
      </c>
      <c r="DC116" s="259">
        <f t="shared" si="828"/>
        <v>912.32999999999993</v>
      </c>
      <c r="DD116" s="253"/>
      <c r="DF116" s="59">
        <f>DF78+DF79</f>
        <v>3942.84</v>
      </c>
      <c r="DG116" s="59">
        <f t="shared" ref="DG116:DL116" si="829">DG78+DG79</f>
        <v>3271.17</v>
      </c>
      <c r="DH116" s="59">
        <f t="shared" si="829"/>
        <v>3223.5699999999997</v>
      </c>
      <c r="DI116" s="59">
        <f t="shared" si="829"/>
        <v>2884.75</v>
      </c>
      <c r="DJ116" s="59">
        <f t="shared" si="829"/>
        <v>0</v>
      </c>
      <c r="DK116" s="59">
        <f t="shared" si="829"/>
        <v>0</v>
      </c>
      <c r="DL116" s="259">
        <f t="shared" si="829"/>
        <v>0</v>
      </c>
      <c r="DM116" s="253"/>
      <c r="DO116" s="59">
        <f>DO78+DO79</f>
        <v>0</v>
      </c>
      <c r="DP116" s="59">
        <f t="shared" ref="DP116:DU116" si="830">DP78+DP79</f>
        <v>0</v>
      </c>
      <c r="DQ116" s="59">
        <f t="shared" si="830"/>
        <v>0</v>
      </c>
      <c r="DR116" s="59">
        <f t="shared" si="830"/>
        <v>0</v>
      </c>
      <c r="DS116" s="59">
        <f t="shared" si="830"/>
        <v>1819.23</v>
      </c>
      <c r="DT116" s="59">
        <f t="shared" si="830"/>
        <v>1828.1599999999999</v>
      </c>
      <c r="DU116" s="259">
        <f t="shared" si="830"/>
        <v>1975.9299999999998</v>
      </c>
      <c r="DV116" s="253"/>
      <c r="DX116" s="59">
        <f>DX78+DX79</f>
        <v>1926.21</v>
      </c>
      <c r="DY116" s="59">
        <f t="shared" ref="DY116:ED116" si="831">DY78+DY79</f>
        <v>2085.69</v>
      </c>
      <c r="DZ116" s="59">
        <f t="shared" si="831"/>
        <v>425.97</v>
      </c>
      <c r="EA116" s="59">
        <f t="shared" si="831"/>
        <v>1595.3500000000001</v>
      </c>
      <c r="EB116" s="59">
        <f t="shared" si="831"/>
        <v>0</v>
      </c>
      <c r="EC116" s="59">
        <f t="shared" si="831"/>
        <v>0</v>
      </c>
      <c r="ED116" s="259">
        <f t="shared" si="831"/>
        <v>0</v>
      </c>
      <c r="EE116" s="253"/>
      <c r="EG116" s="59">
        <f>EG78+EG79</f>
        <v>0</v>
      </c>
      <c r="EH116" s="59">
        <f t="shared" ref="EH116:EM116" si="832">EH78+EH79</f>
        <v>0</v>
      </c>
      <c r="EI116" s="59">
        <f t="shared" si="832"/>
        <v>0</v>
      </c>
      <c r="EJ116" s="59">
        <f t="shared" si="832"/>
        <v>0</v>
      </c>
      <c r="EK116" s="59">
        <f t="shared" si="832"/>
        <v>0</v>
      </c>
      <c r="EL116" s="59">
        <f t="shared" si="832"/>
        <v>0</v>
      </c>
      <c r="EM116" s="259">
        <f t="shared" si="832"/>
        <v>0</v>
      </c>
      <c r="EN116" s="253"/>
      <c r="EP116" s="59">
        <f>EP78+EP79</f>
        <v>0</v>
      </c>
      <c r="EQ116" s="59">
        <f t="shared" ref="EQ116:EV116" si="833">EQ78+EQ79</f>
        <v>0</v>
      </c>
      <c r="ER116" s="59">
        <f t="shared" si="833"/>
        <v>0</v>
      </c>
      <c r="ES116" s="59">
        <f t="shared" si="833"/>
        <v>0</v>
      </c>
      <c r="ET116" s="59">
        <f t="shared" si="833"/>
        <v>0</v>
      </c>
      <c r="EU116" s="59">
        <f t="shared" si="833"/>
        <v>0</v>
      </c>
      <c r="EV116" s="259">
        <f t="shared" si="833"/>
        <v>0</v>
      </c>
      <c r="EW116" s="253"/>
    </row>
    <row r="117" spans="3:153" ht="17.25" customHeight="1" outlineLevel="1" thickBot="1" x14ac:dyDescent="0.35">
      <c r="C117" s="613" t="s">
        <v>348</v>
      </c>
      <c r="D117" s="559" t="s">
        <v>51</v>
      </c>
      <c r="E117" s="560"/>
      <c r="F117" s="72"/>
      <c r="G117" s="73" t="s">
        <v>37</v>
      </c>
      <c r="BM117" s="76">
        <f>Dashboard!BS75</f>
        <v>11464.33</v>
      </c>
      <c r="BN117" s="76">
        <f>Dashboard!BT75</f>
        <v>12221.77</v>
      </c>
      <c r="BO117" s="76">
        <f>Dashboard!BU75</f>
        <v>11918.69</v>
      </c>
      <c r="BP117" s="76">
        <f>Dashboard!BV75</f>
        <v>10724.09</v>
      </c>
      <c r="BQ117" s="76">
        <f>Dashboard!BW75</f>
        <v>7758.24</v>
      </c>
      <c r="BR117" s="76">
        <f>Dashboard!BX75</f>
        <v>3136.16</v>
      </c>
      <c r="BS117" s="261">
        <f>Dashboard!BY75</f>
        <v>910.39</v>
      </c>
      <c r="BT117" s="253"/>
      <c r="BV117" s="76">
        <f>Dashboard!CB75</f>
        <v>8270.91</v>
      </c>
      <c r="BW117" s="76">
        <f>Dashboard!CC75</f>
        <v>5928.48</v>
      </c>
      <c r="BX117" s="76">
        <f>Dashboard!CD75</f>
        <v>21388.09</v>
      </c>
      <c r="BY117" s="76">
        <f>Dashboard!CE75</f>
        <v>9615.2900000000009</v>
      </c>
      <c r="BZ117" s="76">
        <f>Dashboard!CF75</f>
        <v>6216.31</v>
      </c>
      <c r="CA117" s="76">
        <f>Dashboard!CG75</f>
        <v>1466.9699999999998</v>
      </c>
      <c r="CB117" s="261">
        <f>Dashboard!CH75</f>
        <v>514.52</v>
      </c>
      <c r="CC117" s="253"/>
      <c r="CE117" s="76">
        <f>Dashboard!CK75</f>
        <v>4510.28</v>
      </c>
      <c r="CF117" s="76">
        <f>CF80</f>
        <v>9615.2900000000009</v>
      </c>
      <c r="CG117" s="76">
        <f>CG80</f>
        <v>12531.96</v>
      </c>
      <c r="CH117" s="76">
        <f>CH80</f>
        <v>10367.57</v>
      </c>
      <c r="CI117" s="76">
        <f>Dashboard!CO75</f>
        <v>0</v>
      </c>
      <c r="CJ117" s="76">
        <f>Dashboard!CP75</f>
        <v>0</v>
      </c>
      <c r="CK117" s="261">
        <f>Dashboard!CQ75</f>
        <v>0</v>
      </c>
      <c r="CL117" s="253"/>
      <c r="CN117" s="76">
        <f>Dashboard!CT75</f>
        <v>0</v>
      </c>
      <c r="CO117" s="76">
        <f t="shared" ref="CO117:CT117" si="834">CO80</f>
        <v>11232.73</v>
      </c>
      <c r="CP117" s="76">
        <f t="shared" si="834"/>
        <v>8089.08</v>
      </c>
      <c r="CQ117" s="76">
        <f t="shared" si="834"/>
        <v>10107.290000000001</v>
      </c>
      <c r="CR117" s="76">
        <f t="shared" si="834"/>
        <v>9025.6500000000015</v>
      </c>
      <c r="CS117" s="76">
        <f t="shared" si="834"/>
        <v>4376.53</v>
      </c>
      <c r="CT117" s="76">
        <f t="shared" si="834"/>
        <v>1621.33</v>
      </c>
      <c r="CU117" s="253"/>
      <c r="CW117" s="76">
        <f>Dashboard!DC75</f>
        <v>0</v>
      </c>
      <c r="CX117" s="76">
        <f t="shared" ref="CX117:DC117" si="835">CX80</f>
        <v>11232.73</v>
      </c>
      <c r="CY117" s="76">
        <f t="shared" si="835"/>
        <v>11502.439999999999</v>
      </c>
      <c r="CZ117" s="76">
        <f>CZ80</f>
        <v>10598.59</v>
      </c>
      <c r="DA117" s="76">
        <f t="shared" si="835"/>
        <v>7210.37</v>
      </c>
      <c r="DB117" s="76">
        <f t="shared" si="835"/>
        <v>4192.47</v>
      </c>
      <c r="DC117" s="261">
        <f t="shared" si="835"/>
        <v>1790.16</v>
      </c>
      <c r="DD117" s="253"/>
      <c r="DF117" s="76">
        <f>DF80</f>
        <v>10094.14</v>
      </c>
      <c r="DG117" s="76">
        <f t="shared" ref="DG117:DH117" si="836">DG80</f>
        <v>10667.08</v>
      </c>
      <c r="DH117" s="76">
        <f t="shared" si="836"/>
        <v>11170.83</v>
      </c>
      <c r="DI117" s="76">
        <f>DI80</f>
        <v>6293.52</v>
      </c>
      <c r="DJ117" s="76">
        <f t="shared" ref="DJ117:DL117" si="837">DJ80</f>
        <v>0</v>
      </c>
      <c r="DK117" s="76">
        <f t="shared" si="837"/>
        <v>0</v>
      </c>
      <c r="DL117" s="261">
        <f t="shared" si="837"/>
        <v>0</v>
      </c>
      <c r="DM117" s="253"/>
      <c r="DO117" s="76">
        <f>DO80</f>
        <v>0</v>
      </c>
      <c r="DP117" s="76">
        <f t="shared" ref="DP117:DQ117" si="838">DP80</f>
        <v>0</v>
      </c>
      <c r="DQ117" s="76">
        <f t="shared" si="838"/>
        <v>0</v>
      </c>
      <c r="DR117" s="76">
        <f>DR80</f>
        <v>0</v>
      </c>
      <c r="DS117" s="76">
        <f t="shared" ref="DS117:DU117" si="839">DS80</f>
        <v>9.44</v>
      </c>
      <c r="DT117" s="76">
        <f t="shared" si="839"/>
        <v>2330.6800000000003</v>
      </c>
      <c r="DU117" s="261">
        <f t="shared" si="839"/>
        <v>1291.19</v>
      </c>
      <c r="DV117" s="253"/>
      <c r="DX117" s="76">
        <f>DX80</f>
        <v>6666.77</v>
      </c>
      <c r="DY117" s="76">
        <f t="shared" ref="DY117:DZ117" si="840">DY80</f>
        <v>6246.7</v>
      </c>
      <c r="DZ117" s="76">
        <f t="shared" si="840"/>
        <v>495.28000000000003</v>
      </c>
      <c r="EA117" s="76">
        <f>EA80</f>
        <v>5605.17</v>
      </c>
      <c r="EB117" s="76">
        <f t="shared" ref="EB117:ED117" si="841">EB80</f>
        <v>0</v>
      </c>
      <c r="EC117" s="76">
        <f t="shared" si="841"/>
        <v>0</v>
      </c>
      <c r="ED117" s="261">
        <f t="shared" si="841"/>
        <v>0</v>
      </c>
      <c r="EE117" s="253"/>
      <c r="EG117" s="76">
        <f>EG80</f>
        <v>0</v>
      </c>
      <c r="EH117" s="76">
        <f t="shared" ref="EH117:EI117" si="842">EH80</f>
        <v>0</v>
      </c>
      <c r="EI117" s="76">
        <f t="shared" si="842"/>
        <v>0</v>
      </c>
      <c r="EJ117" s="76">
        <f>EJ80</f>
        <v>0</v>
      </c>
      <c r="EK117" s="76">
        <f t="shared" ref="EK117:EM117" si="843">EK80</f>
        <v>0</v>
      </c>
      <c r="EL117" s="76">
        <f t="shared" si="843"/>
        <v>0</v>
      </c>
      <c r="EM117" s="261">
        <f t="shared" si="843"/>
        <v>0</v>
      </c>
      <c r="EN117" s="253"/>
      <c r="EP117" s="76">
        <f>EP80</f>
        <v>0</v>
      </c>
      <c r="EQ117" s="76">
        <f t="shared" ref="EQ117:ER117" si="844">EQ80</f>
        <v>0</v>
      </c>
      <c r="ER117" s="76">
        <f t="shared" si="844"/>
        <v>0</v>
      </c>
      <c r="ES117" s="76">
        <f>ES80</f>
        <v>0</v>
      </c>
      <c r="ET117" s="76">
        <f t="shared" ref="ET117:EV117" si="845">ET80</f>
        <v>0</v>
      </c>
      <c r="EU117" s="76">
        <f t="shared" si="845"/>
        <v>0</v>
      </c>
      <c r="EV117" s="261">
        <f t="shared" si="845"/>
        <v>0</v>
      </c>
      <c r="EW117" s="253"/>
    </row>
    <row r="118" spans="3:153" ht="19.5" customHeight="1" outlineLevel="1" thickBot="1" x14ac:dyDescent="0.35">
      <c r="C118" s="573" t="s">
        <v>274</v>
      </c>
      <c r="D118" s="574"/>
      <c r="E118" s="574"/>
      <c r="F118" s="575"/>
      <c r="G118" s="576"/>
      <c r="BM118" s="558"/>
      <c r="BN118" s="556"/>
      <c r="BO118" s="556"/>
      <c r="BP118" s="556"/>
      <c r="BQ118" s="556"/>
      <c r="BR118" s="556"/>
      <c r="BS118" s="557"/>
      <c r="BV118" s="558"/>
      <c r="BW118" s="556"/>
      <c r="BX118" s="556"/>
      <c r="BY118" s="556"/>
      <c r="BZ118" s="556"/>
      <c r="CA118" s="556"/>
      <c r="CB118" s="557"/>
      <c r="CE118" s="558"/>
      <c r="CF118" s="556"/>
      <c r="CG118" s="556"/>
      <c r="CH118" s="556"/>
      <c r="CI118" s="556"/>
      <c r="CJ118" s="556"/>
      <c r="CK118" s="557"/>
      <c r="CN118" s="558"/>
      <c r="CO118" s="556"/>
      <c r="CP118" s="556"/>
      <c r="CQ118" s="556"/>
      <c r="CR118" s="556"/>
      <c r="CS118" s="556"/>
      <c r="CT118" s="557"/>
      <c r="CW118" s="558"/>
      <c r="CX118" s="556"/>
      <c r="CY118" s="556"/>
      <c r="CZ118" s="556"/>
      <c r="DA118" s="556"/>
      <c r="DB118" s="556"/>
      <c r="DC118" s="557"/>
      <c r="DF118" s="558"/>
      <c r="DG118" s="556"/>
      <c r="DH118" s="556"/>
      <c r="DI118" s="556"/>
      <c r="DJ118" s="556"/>
      <c r="DK118" s="556"/>
      <c r="DL118" s="557"/>
      <c r="DO118" s="558"/>
      <c r="DP118" s="556"/>
      <c r="DQ118" s="556"/>
      <c r="DR118" s="556"/>
      <c r="DS118" s="556"/>
      <c r="DT118" s="556"/>
      <c r="DU118" s="557"/>
      <c r="DX118" s="558"/>
      <c r="DY118" s="556"/>
      <c r="DZ118" s="556"/>
      <c r="EA118" s="556"/>
      <c r="EB118" s="556"/>
      <c r="EC118" s="556"/>
      <c r="ED118" s="557"/>
      <c r="EG118" s="558"/>
      <c r="EH118" s="556"/>
      <c r="EI118" s="556"/>
      <c r="EJ118" s="556"/>
      <c r="EK118" s="556"/>
      <c r="EL118" s="556"/>
      <c r="EM118" s="557"/>
      <c r="EN118"/>
      <c r="EP118" s="558"/>
      <c r="EQ118" s="556"/>
      <c r="ER118" s="556"/>
      <c r="ES118" s="556"/>
      <c r="ET118" s="556"/>
      <c r="EU118" s="556"/>
      <c r="EV118" s="557"/>
      <c r="EW118"/>
    </row>
    <row r="119" spans="3:153" ht="15.75" customHeight="1" outlineLevel="1" x14ac:dyDescent="0.3">
      <c r="C119" s="605" t="s">
        <v>336</v>
      </c>
      <c r="D119" s="569" t="s">
        <v>36</v>
      </c>
      <c r="E119" s="570"/>
      <c r="F119" s="55"/>
      <c r="G119" s="56" t="s">
        <v>37</v>
      </c>
      <c r="BM119" s="59">
        <f t="shared" ref="BM119:BS119" si="846">BM19+BM37</f>
        <v>32.386612386623909</v>
      </c>
      <c r="BN119" s="59">
        <f t="shared" si="846"/>
        <v>6.2422511781657093</v>
      </c>
      <c r="BO119" s="59">
        <f t="shared" si="846"/>
        <v>6.8148590136185279</v>
      </c>
      <c r="BP119" s="59">
        <f t="shared" si="846"/>
        <v>7.9328170491071424</v>
      </c>
      <c r="BQ119" s="59">
        <f t="shared" si="846"/>
        <v>10.232116307598226</v>
      </c>
      <c r="BR119" s="59">
        <f t="shared" si="846"/>
        <v>35.038041857142858</v>
      </c>
      <c r="BS119" s="259" t="e">
        <f t="shared" si="846"/>
        <v>#DIV/0!</v>
      </c>
      <c r="BT119" s="253"/>
      <c r="BV119" s="59">
        <f t="shared" ref="BV119:CB119" si="847">BV19+BV37</f>
        <v>51.810372005524023</v>
      </c>
      <c r="BW119" s="59">
        <f t="shared" si="847"/>
        <v>2.7927275399280349</v>
      </c>
      <c r="BX119" s="59">
        <f t="shared" si="847"/>
        <v>6.0779652219321143</v>
      </c>
      <c r="BY119" s="59">
        <f t="shared" si="847"/>
        <v>6.8386602529016773</v>
      </c>
      <c r="BZ119" s="59">
        <f t="shared" si="847"/>
        <v>11.630041499999999</v>
      </c>
      <c r="CA119" s="59" t="e">
        <f t="shared" si="847"/>
        <v>#DIV/0!</v>
      </c>
      <c r="CB119" s="259" t="e">
        <f t="shared" si="847"/>
        <v>#DIV/0!</v>
      </c>
      <c r="CC119" s="253"/>
      <c r="CE119" s="18">
        <f t="shared" ref="CE119:CK126" si="848">CE104/CE$89</f>
        <v>197.82930327868854</v>
      </c>
      <c r="CF119" s="18">
        <f t="shared" si="848"/>
        <v>304.6961267605634</v>
      </c>
      <c r="CG119" s="18">
        <f t="shared" si="848"/>
        <v>302.31897435897434</v>
      </c>
      <c r="CH119" s="18">
        <f t="shared" si="848"/>
        <v>350.5013651877133</v>
      </c>
      <c r="CI119" s="18">
        <f t="shared" si="848"/>
        <v>609.67391304347825</v>
      </c>
      <c r="CJ119" s="18">
        <f t="shared" si="848"/>
        <v>592.41935483870964</v>
      </c>
      <c r="CK119" s="18">
        <f t="shared" si="848"/>
        <v>545.62913907284769</v>
      </c>
      <c r="CL119" s="253"/>
      <c r="CN119" s="18" t="e">
        <f t="shared" ref="CN119:CT125" si="849">CN104/CN$89</f>
        <v>#DIV/0!</v>
      </c>
      <c r="CO119" s="18">
        <f t="shared" si="849"/>
        <v>299.38764940239037</v>
      </c>
      <c r="CP119" s="18">
        <f t="shared" si="849"/>
        <v>172.34275534441804</v>
      </c>
      <c r="CQ119" s="18">
        <f t="shared" si="849"/>
        <v>368.27753001715269</v>
      </c>
      <c r="CR119" s="18">
        <f t="shared" si="849"/>
        <v>403.58085642317377</v>
      </c>
      <c r="CS119" s="18">
        <f t="shared" si="849"/>
        <v>551.12311557788951</v>
      </c>
      <c r="CT119" s="18">
        <f t="shared" si="849"/>
        <v>527.6647482014389</v>
      </c>
      <c r="CU119" s="253"/>
      <c r="CW119" s="18">
        <f t="shared" ref="CW119:DC125" si="850">CW104/CW$89</f>
        <v>169.71967871485947</v>
      </c>
      <c r="CX119" s="18">
        <f t="shared" si="850"/>
        <v>287.40877390326204</v>
      </c>
      <c r="CY119" s="18">
        <f t="shared" si="850"/>
        <v>290.23870614035081</v>
      </c>
      <c r="CZ119" s="18">
        <f t="shared" si="850"/>
        <v>342.09287790697675</v>
      </c>
      <c r="DA119" s="18">
        <f t="shared" si="850"/>
        <v>441.69852216748762</v>
      </c>
      <c r="DB119" s="18">
        <f t="shared" si="850"/>
        <v>472.29008264462811</v>
      </c>
      <c r="DC119" s="260">
        <f t="shared" si="850"/>
        <v>891.14320987654332</v>
      </c>
      <c r="DD119" s="253"/>
      <c r="DF119" s="18">
        <f t="shared" ref="DF119:DL119" si="851">DF104/DF$89</f>
        <v>310.06037683949933</v>
      </c>
      <c r="DG119" s="18">
        <f t="shared" si="851"/>
        <v>308.06931818181812</v>
      </c>
      <c r="DH119" s="18">
        <f t="shared" si="851"/>
        <v>317.09468791500666</v>
      </c>
      <c r="DI119" s="18">
        <f t="shared" si="851"/>
        <v>591.26403162055328</v>
      </c>
      <c r="DJ119" s="18" t="e">
        <f t="shared" si="851"/>
        <v>#DIV/0!</v>
      </c>
      <c r="DK119" s="18" t="e">
        <f t="shared" si="851"/>
        <v>#DIV/0!</v>
      </c>
      <c r="DL119" s="260" t="e">
        <f t="shared" si="851"/>
        <v>#DIV/0!</v>
      </c>
      <c r="DM119" s="253"/>
      <c r="DO119" s="18" t="e">
        <f t="shared" ref="DO119:DU119" si="852">DO104/DO$89</f>
        <v>#DIV/0!</v>
      </c>
      <c r="DP119" s="18" t="e">
        <f t="shared" si="852"/>
        <v>#DIV/0!</v>
      </c>
      <c r="DQ119" s="18" t="e">
        <f t="shared" si="852"/>
        <v>#DIV/0!</v>
      </c>
      <c r="DR119" s="18" t="e">
        <f t="shared" si="852"/>
        <v>#DIV/0!</v>
      </c>
      <c r="DS119" s="18">
        <f t="shared" si="852"/>
        <v>121.26919191919193</v>
      </c>
      <c r="DT119" s="18">
        <f t="shared" si="852"/>
        <v>232.03492647058826</v>
      </c>
      <c r="DU119" s="260">
        <f t="shared" si="852"/>
        <v>176.06349206349205</v>
      </c>
      <c r="DV119" s="253"/>
      <c r="DX119" s="18">
        <f>IF(ISNUMBER(DX$89),IF(DX$89&gt;0,DX104/DX$89,),)</f>
        <v>281.10978571428575</v>
      </c>
      <c r="DY119" s="18">
        <f t="shared" ref="DY119:ED119" si="853">IF(ISNUMBER(DY$89),IF(DY$89&gt;0,DY104/DY$89,),)</f>
        <v>509.6266346153846</v>
      </c>
      <c r="DZ119" s="18">
        <f t="shared" si="853"/>
        <v>51.152847721822539</v>
      </c>
      <c r="EA119" s="18">
        <f t="shared" si="853"/>
        <v>512.683609848885</v>
      </c>
      <c r="EB119" s="18">
        <f t="shared" si="853"/>
        <v>0</v>
      </c>
      <c r="EC119" s="18">
        <f t="shared" si="853"/>
        <v>0</v>
      </c>
      <c r="ED119" s="18">
        <f t="shared" si="853"/>
        <v>0</v>
      </c>
      <c r="EE119" s="253"/>
      <c r="EG119" s="18">
        <f>IF(ISNUMBER(EG$89),IF(EG$89&gt;0,EG104/EG$89,),)</f>
        <v>0</v>
      </c>
      <c r="EH119" s="18">
        <f t="shared" ref="EH119:EM119" si="854">IF(ISNUMBER(EH$89),IF(EH$89&gt;0,EH104/EH$89,),)</f>
        <v>0</v>
      </c>
      <c r="EI119" s="18">
        <f t="shared" si="854"/>
        <v>125.02173261390887</v>
      </c>
      <c r="EJ119" s="18">
        <f t="shared" si="854"/>
        <v>0</v>
      </c>
      <c r="EK119" s="18">
        <f t="shared" si="854"/>
        <v>0</v>
      </c>
      <c r="EL119" s="18">
        <f t="shared" si="854"/>
        <v>0</v>
      </c>
      <c r="EM119" s="18">
        <f t="shared" si="854"/>
        <v>0</v>
      </c>
      <c r="EN119" s="253"/>
      <c r="EP119" s="18">
        <f>IF(ISNUMBER(EP$89),IF(EP$89&gt;0,EP104/EP$89,),)</f>
        <v>368.00137362637361</v>
      </c>
      <c r="EQ119" s="18">
        <f t="shared" ref="EQ119:EV119" si="855">IF(ISNUMBER(EQ$89),IF(EQ$89&gt;0,EQ104/EQ$89,),)</f>
        <v>305.39652567975827</v>
      </c>
      <c r="ER119" s="18">
        <f t="shared" si="855"/>
        <v>113.6121103117506</v>
      </c>
      <c r="ES119" s="18">
        <f t="shared" si="855"/>
        <v>320.09335443037975</v>
      </c>
      <c r="ET119" s="18">
        <f t="shared" si="855"/>
        <v>302.70348837209303</v>
      </c>
      <c r="EU119" s="18">
        <f t="shared" si="855"/>
        <v>286.63023399014776</v>
      </c>
      <c r="EV119" s="18">
        <f t="shared" si="855"/>
        <v>342.93537151702787</v>
      </c>
      <c r="EW119" s="253"/>
    </row>
    <row r="120" spans="3:153" ht="16.5" customHeight="1" outlineLevel="1" x14ac:dyDescent="0.3">
      <c r="C120" s="606" t="s">
        <v>337</v>
      </c>
      <c r="D120" s="561" t="s">
        <v>38</v>
      </c>
      <c r="E120" s="562"/>
      <c r="F120" s="61"/>
      <c r="G120" s="62" t="s">
        <v>37</v>
      </c>
      <c r="BM120" s="59">
        <f t="shared" ref="BM120:BS120" si="856">BM22+BM40</f>
        <v>28557.279999999999</v>
      </c>
      <c r="BN120" s="59">
        <f t="shared" si="856"/>
        <v>35379.869999999995</v>
      </c>
      <c r="BO120" s="59">
        <f t="shared" si="856"/>
        <v>33057.79</v>
      </c>
      <c r="BP120" s="59">
        <f t="shared" si="856"/>
        <v>33057.79</v>
      </c>
      <c r="BQ120" s="59">
        <f t="shared" si="856"/>
        <v>26308.440000000002</v>
      </c>
      <c r="BR120" s="59">
        <f t="shared" si="856"/>
        <v>21301.33</v>
      </c>
      <c r="BS120" s="259">
        <f t="shared" si="856"/>
        <v>7227.26</v>
      </c>
      <c r="BT120" s="253"/>
      <c r="BV120" s="59">
        <f>BV22+BV40</f>
        <v>26282.340000000004</v>
      </c>
      <c r="BW120" s="59">
        <v>21868</v>
      </c>
      <c r="BX120" s="59">
        <f>BX22+BX40</f>
        <v>32746.129999999997</v>
      </c>
      <c r="BY120" s="59">
        <f>BY22+BY40</f>
        <v>30756.47</v>
      </c>
      <c r="BZ120" s="59">
        <f>BZ22+BZ40</f>
        <v>24054.33</v>
      </c>
      <c r="CA120" s="59">
        <f>CA22+CA40</f>
        <v>12315.61</v>
      </c>
      <c r="CB120" s="259">
        <f>CB22+CB40</f>
        <v>11198.16</v>
      </c>
      <c r="CC120" s="253"/>
      <c r="CE120" s="18">
        <f t="shared" si="848"/>
        <v>0</v>
      </c>
      <c r="CF120" s="18">
        <f t="shared" si="848"/>
        <v>261.38497652582163</v>
      </c>
      <c r="CG120" s="18">
        <f t="shared" si="848"/>
        <v>281.12820512820514</v>
      </c>
      <c r="CH120" s="18">
        <f t="shared" si="848"/>
        <v>284.3515358361775</v>
      </c>
      <c r="CI120" s="18">
        <f t="shared" si="848"/>
        <v>437.24637681159419</v>
      </c>
      <c r="CJ120" s="18">
        <f t="shared" si="848"/>
        <v>264.56989247311827</v>
      </c>
      <c r="CK120" s="18">
        <f t="shared" si="848"/>
        <v>164.3046357615894</v>
      </c>
      <c r="CL120" s="253"/>
      <c r="CN120" s="18" t="e">
        <f t="shared" si="849"/>
        <v>#DIV/0!</v>
      </c>
      <c r="CO120" s="18">
        <f t="shared" si="849"/>
        <v>257.675962815405</v>
      </c>
      <c r="CP120" s="18">
        <f t="shared" si="849"/>
        <v>172.56532066508314</v>
      </c>
      <c r="CQ120" s="18">
        <f t="shared" si="849"/>
        <v>305.78044596912525</v>
      </c>
      <c r="CR120" s="18">
        <f t="shared" si="849"/>
        <v>369.89924433249365</v>
      </c>
      <c r="CS120" s="18">
        <f t="shared" si="849"/>
        <v>325.92964824120605</v>
      </c>
      <c r="CT120" s="18">
        <f t="shared" si="849"/>
        <v>114.89208633093524</v>
      </c>
      <c r="CU120" s="253"/>
      <c r="CW120" s="18">
        <f t="shared" si="850"/>
        <v>0</v>
      </c>
      <c r="CX120" s="18">
        <f t="shared" si="850"/>
        <v>218.25646794150731</v>
      </c>
      <c r="CY120" s="18">
        <f t="shared" si="850"/>
        <v>246.33771929824562</v>
      </c>
      <c r="CZ120" s="18">
        <f t="shared" si="850"/>
        <v>258.48837209302326</v>
      </c>
      <c r="DA120" s="18">
        <f t="shared" si="850"/>
        <v>331.1576354679803</v>
      </c>
      <c r="DB120" s="18">
        <f t="shared" si="850"/>
        <v>244.6694214876033</v>
      </c>
      <c r="DC120" s="260">
        <f t="shared" si="850"/>
        <v>261.11111111111114</v>
      </c>
      <c r="DD120" s="253"/>
      <c r="DF120" s="18">
        <f t="shared" ref="DF120:DL120" si="857">DF105/DF$89</f>
        <v>262.06849126667584</v>
      </c>
      <c r="DG120" s="18">
        <f t="shared" si="857"/>
        <v>241.66666666666666</v>
      </c>
      <c r="DH120" s="18">
        <f t="shared" si="857"/>
        <v>270.265604249668</v>
      </c>
      <c r="DI120" s="18">
        <f t="shared" si="857"/>
        <v>471.1462450592885</v>
      </c>
      <c r="DJ120" s="18" t="e">
        <f t="shared" si="857"/>
        <v>#DIV/0!</v>
      </c>
      <c r="DK120" s="18" t="e">
        <f t="shared" si="857"/>
        <v>#DIV/0!</v>
      </c>
      <c r="DL120" s="260" t="e">
        <f t="shared" si="857"/>
        <v>#DIV/0!</v>
      </c>
      <c r="DM120" s="253"/>
      <c r="DO120" s="18" t="e">
        <f t="shared" ref="DO120:DU120" si="858">DO105/DO$89</f>
        <v>#DIV/0!</v>
      </c>
      <c r="DP120" s="18" t="e">
        <f t="shared" si="858"/>
        <v>#DIV/0!</v>
      </c>
      <c r="DQ120" s="18" t="e">
        <f t="shared" si="858"/>
        <v>#DIV/0!</v>
      </c>
      <c r="DR120" s="18" t="e">
        <f t="shared" si="858"/>
        <v>#DIV/0!</v>
      </c>
      <c r="DS120" s="18">
        <f t="shared" si="858"/>
        <v>386.16161616161617</v>
      </c>
      <c r="DT120" s="18">
        <f t="shared" si="858"/>
        <v>290.51470588235293</v>
      </c>
      <c r="DU120" s="260">
        <f t="shared" si="858"/>
        <v>438.76088069636455</v>
      </c>
      <c r="DV120" s="253"/>
      <c r="DX120" s="18">
        <f t="shared" ref="DX120:ED125" si="859">IF(ISNUMBER(DX$89),IF(DX$89&gt;0,DX105/DX$89,),)</f>
        <v>238.4</v>
      </c>
      <c r="DY120" s="18">
        <f t="shared" si="859"/>
        <v>334.23076923076923</v>
      </c>
      <c r="DZ120" s="18">
        <f t="shared" si="859"/>
        <v>8.7050359712230208</v>
      </c>
      <c r="EA120" s="18">
        <f t="shared" si="859"/>
        <v>433.00221916939654</v>
      </c>
      <c r="EB120" s="18">
        <f t="shared" si="859"/>
        <v>0</v>
      </c>
      <c r="EC120" s="18">
        <f t="shared" si="859"/>
        <v>0</v>
      </c>
      <c r="ED120" s="18">
        <f t="shared" si="859"/>
        <v>0</v>
      </c>
      <c r="EE120" s="253"/>
      <c r="EG120" s="18">
        <f t="shared" ref="EG120:EM120" si="860">IF(ISNUMBER(EG$89),IF(EG$89&gt;0,EG105/EG$89,),)</f>
        <v>0</v>
      </c>
      <c r="EH120" s="18">
        <f t="shared" si="860"/>
        <v>0</v>
      </c>
      <c r="EI120" s="18">
        <f t="shared" si="860"/>
        <v>94.616306954436439</v>
      </c>
      <c r="EJ120" s="18">
        <f t="shared" si="860"/>
        <v>0</v>
      </c>
      <c r="EK120" s="18">
        <f t="shared" si="860"/>
        <v>0</v>
      </c>
      <c r="EL120" s="18">
        <f t="shared" si="860"/>
        <v>0</v>
      </c>
      <c r="EM120" s="18">
        <f t="shared" si="860"/>
        <v>0</v>
      </c>
      <c r="EN120" s="253"/>
      <c r="EP120" s="18">
        <f t="shared" ref="EP120:EV120" si="861">IF(ISNUMBER(EP$89),IF(EP$89&gt;0,EP105/EP$89,),)</f>
        <v>259.7802197802198</v>
      </c>
      <c r="EQ120" s="18">
        <f t="shared" si="861"/>
        <v>200.69486404833836</v>
      </c>
      <c r="ER120" s="18">
        <f t="shared" si="861"/>
        <v>67.757793764988008</v>
      </c>
      <c r="ES120" s="18">
        <f t="shared" si="861"/>
        <v>211.1139240506329</v>
      </c>
      <c r="ET120" s="18">
        <f t="shared" si="861"/>
        <v>206.53488372093022</v>
      </c>
      <c r="EU120" s="18">
        <f t="shared" si="861"/>
        <v>198.7192118226601</v>
      </c>
      <c r="EV120" s="18">
        <f t="shared" si="861"/>
        <v>267.21362229102169</v>
      </c>
      <c r="EW120" s="253"/>
    </row>
    <row r="121" spans="3:153" ht="15.75" customHeight="1" outlineLevel="1" thickBot="1" x14ac:dyDescent="0.35">
      <c r="C121" s="607" t="s">
        <v>338</v>
      </c>
      <c r="D121" s="561" t="s">
        <v>39</v>
      </c>
      <c r="E121" s="562"/>
      <c r="F121" s="61"/>
      <c r="G121" s="64" t="s">
        <v>37</v>
      </c>
      <c r="BM121" s="59">
        <f t="shared" ref="BM121:BS121" si="862">BM21+BM39</f>
        <v>97.3</v>
      </c>
      <c r="BN121" s="59">
        <f t="shared" si="862"/>
        <v>96.800000000000011</v>
      </c>
      <c r="BO121" s="59">
        <f t="shared" si="862"/>
        <v>109.6</v>
      </c>
      <c r="BP121" s="59">
        <f t="shared" si="862"/>
        <v>76.2</v>
      </c>
      <c r="BQ121" s="59">
        <f t="shared" si="862"/>
        <v>21.1</v>
      </c>
      <c r="BR121" s="59">
        <f t="shared" si="862"/>
        <v>12</v>
      </c>
      <c r="BS121" s="259">
        <f t="shared" si="862"/>
        <v>0</v>
      </c>
      <c r="BT121" s="253"/>
      <c r="BV121" s="59">
        <f t="shared" ref="BV121:CB121" si="863">BV21+BV39</f>
        <v>94.9</v>
      </c>
      <c r="BW121" s="59">
        <f t="shared" si="863"/>
        <v>144.80000000000001</v>
      </c>
      <c r="BX121" s="59">
        <f t="shared" si="863"/>
        <v>75.5</v>
      </c>
      <c r="BY121" s="59">
        <f t="shared" si="863"/>
        <v>130.9</v>
      </c>
      <c r="BZ121" s="59">
        <f t="shared" si="863"/>
        <v>20.9</v>
      </c>
      <c r="CA121" s="59">
        <f t="shared" si="863"/>
        <v>0</v>
      </c>
      <c r="CB121" s="259">
        <f t="shared" si="863"/>
        <v>0</v>
      </c>
      <c r="CC121" s="253"/>
      <c r="CE121" s="18">
        <f t="shared" si="848"/>
        <v>285.23606557377053</v>
      </c>
      <c r="CF121" s="18">
        <f t="shared" si="848"/>
        <v>880.51983568075138</v>
      </c>
      <c r="CG121" s="18">
        <f t="shared" si="848"/>
        <v>1158.3211538461539</v>
      </c>
      <c r="CH121" s="18">
        <f t="shared" si="848"/>
        <v>1287.4636518771331</v>
      </c>
      <c r="CI121" s="18">
        <f t="shared" si="848"/>
        <v>2108.369565217391</v>
      </c>
      <c r="CJ121" s="18">
        <f t="shared" si="848"/>
        <v>1906.4516129032256</v>
      </c>
      <c r="CK121" s="18">
        <f t="shared" si="848"/>
        <v>1628.9403973509934</v>
      </c>
      <c r="CL121" s="253"/>
      <c r="CN121" s="18" t="e">
        <f t="shared" si="849"/>
        <v>#DIV/0!</v>
      </c>
      <c r="CO121" s="18">
        <f t="shared" si="849"/>
        <v>1125.5434262948206</v>
      </c>
      <c r="CP121" s="18">
        <f t="shared" si="849"/>
        <v>774.96543942992867</v>
      </c>
      <c r="CQ121" s="18">
        <f t="shared" si="849"/>
        <v>1333.6957118353344</v>
      </c>
      <c r="CR121" s="18">
        <f t="shared" si="849"/>
        <v>1467.9521410579343</v>
      </c>
      <c r="CS121" s="18">
        <f t="shared" si="849"/>
        <v>1805.5728643216082</v>
      </c>
      <c r="CT121" s="18">
        <f t="shared" si="849"/>
        <v>1461.76690647482</v>
      </c>
      <c r="CU121" s="253"/>
      <c r="CW121" s="18">
        <f t="shared" si="850"/>
        <v>233.2223560910308</v>
      </c>
      <c r="CX121" s="18">
        <f t="shared" si="850"/>
        <v>953.35680539932503</v>
      </c>
      <c r="CY121" s="18">
        <f t="shared" si="850"/>
        <v>1100.8904605263156</v>
      </c>
      <c r="CZ121" s="18">
        <f t="shared" si="850"/>
        <v>1234.734011627907</v>
      </c>
      <c r="DA121" s="18">
        <f t="shared" si="850"/>
        <v>1373.8497536945813</v>
      </c>
      <c r="DB121" s="18">
        <f t="shared" si="850"/>
        <v>1504.0533057851239</v>
      </c>
      <c r="DC121" s="260">
        <f t="shared" si="850"/>
        <v>3102.4950617283953</v>
      </c>
      <c r="DD121" s="253"/>
      <c r="DF121" s="18">
        <f t="shared" ref="DF121:DL121" si="864">DF106/DF$89</f>
        <v>1212.2999587402007</v>
      </c>
      <c r="DG121" s="18">
        <f t="shared" si="864"/>
        <v>1107.4058080808081</v>
      </c>
      <c r="DH121" s="18">
        <f t="shared" si="864"/>
        <v>1189.14807436919</v>
      </c>
      <c r="DI121" s="18">
        <f t="shared" si="864"/>
        <v>2649.0632411067195</v>
      </c>
      <c r="DJ121" s="18" t="e">
        <f t="shared" si="864"/>
        <v>#DIV/0!</v>
      </c>
      <c r="DK121" s="18" t="e">
        <f t="shared" si="864"/>
        <v>#DIV/0!</v>
      </c>
      <c r="DL121" s="260" t="e">
        <f t="shared" si="864"/>
        <v>#DIV/0!</v>
      </c>
      <c r="DM121" s="253"/>
      <c r="DO121" s="18" t="e">
        <f t="shared" ref="DO121:DU121" si="865">DO106/DO$89</f>
        <v>#DIV/0!</v>
      </c>
      <c r="DP121" s="18" t="e">
        <f t="shared" si="865"/>
        <v>#DIV/0!</v>
      </c>
      <c r="DQ121" s="18" t="e">
        <f t="shared" si="865"/>
        <v>#DIV/0!</v>
      </c>
      <c r="DR121" s="18" t="e">
        <f t="shared" si="865"/>
        <v>#DIV/0!</v>
      </c>
      <c r="DS121" s="18">
        <f t="shared" si="865"/>
        <v>1591.6161616161617</v>
      </c>
      <c r="DT121" s="18">
        <f t="shared" si="865"/>
        <v>1528.1518382352942</v>
      </c>
      <c r="DU121" s="260">
        <f t="shared" si="865"/>
        <v>1722.3241167434714</v>
      </c>
      <c r="DV121" s="253"/>
      <c r="DX121" s="18">
        <f t="shared" si="859"/>
        <v>1026.2274971428715</v>
      </c>
      <c r="DY121" s="18">
        <f t="shared" si="859"/>
        <v>1406.6482307692422</v>
      </c>
      <c r="DZ121" s="18">
        <f t="shared" si="859"/>
        <v>146.81279136689844</v>
      </c>
      <c r="EA121" s="18">
        <f t="shared" si="859"/>
        <v>2236.1085279509666</v>
      </c>
      <c r="EB121" s="18">
        <f t="shared" si="859"/>
        <v>0</v>
      </c>
      <c r="EC121" s="18">
        <f t="shared" si="859"/>
        <v>0</v>
      </c>
      <c r="ED121" s="18">
        <f t="shared" si="859"/>
        <v>0</v>
      </c>
      <c r="EE121" s="253"/>
      <c r="EG121" s="18">
        <f t="shared" ref="EG121:EM121" si="866">IF(ISNUMBER(EG$89),IF(EG$89&gt;0,EG106/EG$89,),)</f>
        <v>0</v>
      </c>
      <c r="EH121" s="18">
        <f t="shared" si="866"/>
        <v>0</v>
      </c>
      <c r="EI121" s="18">
        <f t="shared" si="866"/>
        <v>250.84417266186088</v>
      </c>
      <c r="EJ121" s="18">
        <f t="shared" si="866"/>
        <v>0</v>
      </c>
      <c r="EK121" s="18">
        <f t="shared" si="866"/>
        <v>0</v>
      </c>
      <c r="EL121" s="18">
        <f t="shared" si="866"/>
        <v>0</v>
      </c>
      <c r="EM121" s="18">
        <f t="shared" si="866"/>
        <v>0</v>
      </c>
      <c r="EN121" s="253"/>
      <c r="EP121" s="18">
        <f t="shared" ref="EP121:EV121" si="867">IF(ISNUMBER(EP$89),IF(EP$89&gt;0,EP106/EP$89,),)</f>
        <v>872.69563369964828</v>
      </c>
      <c r="EQ121" s="18">
        <f t="shared" si="867"/>
        <v>808.03051359512688</v>
      </c>
      <c r="ER121" s="18">
        <f t="shared" si="867"/>
        <v>301.18583213428536</v>
      </c>
      <c r="ES121" s="18">
        <f t="shared" si="867"/>
        <v>857.97337721524059</v>
      </c>
      <c r="ET121" s="18">
        <f t="shared" si="867"/>
        <v>845.61819534883023</v>
      </c>
      <c r="EU121" s="18">
        <f t="shared" si="867"/>
        <v>850.45893596058625</v>
      </c>
      <c r="EV121" s="18">
        <f t="shared" si="867"/>
        <v>1031.2296965944336</v>
      </c>
      <c r="EW121" s="253"/>
    </row>
    <row r="122" spans="3:153" ht="16.5" customHeight="1" outlineLevel="1" x14ac:dyDescent="0.3">
      <c r="C122" s="608" t="s">
        <v>339</v>
      </c>
      <c r="D122" s="571" t="s">
        <v>41</v>
      </c>
      <c r="E122" s="572"/>
      <c r="F122" s="61"/>
      <c r="G122" s="62" t="s">
        <v>37</v>
      </c>
      <c r="BM122" s="59">
        <f t="shared" ref="BM122:BS122" si="868">BM103+BM104</f>
        <v>19459.620000000003</v>
      </c>
      <c r="BN122" s="59">
        <f t="shared" si="868"/>
        <v>25576.45</v>
      </c>
      <c r="BO122" s="59">
        <f t="shared" si="868"/>
        <v>23493.1</v>
      </c>
      <c r="BP122" s="59">
        <f t="shared" si="868"/>
        <v>20848.55</v>
      </c>
      <c r="BQ122" s="59">
        <f t="shared" si="868"/>
        <v>17895.260000000002</v>
      </c>
      <c r="BR122" s="59">
        <f t="shared" si="868"/>
        <v>10780.11</v>
      </c>
      <c r="BS122" s="259">
        <f t="shared" si="868"/>
        <v>6111.85</v>
      </c>
      <c r="BT122" s="253"/>
      <c r="BV122" s="59">
        <f t="shared" ref="BV122:CB122" si="869">BV103+BV104</f>
        <v>14245.6</v>
      </c>
      <c r="BW122" s="59">
        <f t="shared" si="869"/>
        <v>13034.42</v>
      </c>
      <c r="BX122" s="59">
        <f t="shared" si="869"/>
        <v>26491.33</v>
      </c>
      <c r="BY122" s="59">
        <f t="shared" si="869"/>
        <v>19838.89</v>
      </c>
      <c r="BZ122" s="59">
        <f t="shared" si="869"/>
        <v>15850.029999999999</v>
      </c>
      <c r="CA122" s="59">
        <f t="shared" si="869"/>
        <v>8981.2999999999993</v>
      </c>
      <c r="CB122" s="259">
        <f t="shared" si="869"/>
        <v>5833.1900000000005</v>
      </c>
      <c r="CC122" s="253"/>
      <c r="CE122" s="18">
        <f t="shared" si="848"/>
        <v>5.9992786885245897</v>
      </c>
      <c r="CF122" s="18">
        <f t="shared" si="848"/>
        <v>25.17816784037559</v>
      </c>
      <c r="CG122" s="18">
        <f t="shared" si="848"/>
        <v>25.504910256410255</v>
      </c>
      <c r="CH122" s="18">
        <f t="shared" si="848"/>
        <v>26.777970989761094</v>
      </c>
      <c r="CI122" s="18">
        <f t="shared" si="848"/>
        <v>45.163043478260867</v>
      </c>
      <c r="CJ122" s="18">
        <f t="shared" si="848"/>
        <v>42.099999999999994</v>
      </c>
      <c r="CK122" s="18">
        <f t="shared" si="848"/>
        <v>11.329139072847681</v>
      </c>
      <c r="CL122" s="253"/>
      <c r="CN122" s="18" t="e">
        <f t="shared" si="849"/>
        <v>#DIV/0!</v>
      </c>
      <c r="CO122" s="18">
        <f t="shared" si="849"/>
        <v>31.468988047808764</v>
      </c>
      <c r="CP122" s="18">
        <f t="shared" si="849"/>
        <v>20.630901425178148</v>
      </c>
      <c r="CQ122" s="18">
        <f t="shared" si="849"/>
        <v>33.895540308747854</v>
      </c>
      <c r="CR122" s="18">
        <f t="shared" si="849"/>
        <v>32.607959697732994</v>
      </c>
      <c r="CS122" s="18">
        <f t="shared" si="849"/>
        <v>15.479195979899499</v>
      </c>
      <c r="CT122" s="18">
        <f t="shared" si="849"/>
        <v>18.211266187050359</v>
      </c>
      <c r="CU122" s="253"/>
      <c r="CW122" s="18">
        <f t="shared" si="850"/>
        <v>5.8725020080321286</v>
      </c>
      <c r="CX122" s="18">
        <f t="shared" si="850"/>
        <v>32.216814960629918</v>
      </c>
      <c r="CY122" s="18">
        <f t="shared" si="850"/>
        <v>26.010128289473684</v>
      </c>
      <c r="CZ122" s="18">
        <f t="shared" si="850"/>
        <v>37.063337209302333</v>
      </c>
      <c r="DA122" s="18">
        <f t="shared" si="850"/>
        <v>49.484620689655173</v>
      </c>
      <c r="DB122" s="18">
        <f t="shared" si="850"/>
        <v>35.882921487603305</v>
      </c>
      <c r="DC122" s="260">
        <f t="shared" si="850"/>
        <v>45.952370370370375</v>
      </c>
      <c r="DD122" s="253"/>
      <c r="DF122" s="18">
        <f t="shared" ref="DF122:DL122" si="870">DF107/DF$89</f>
        <v>39.728256085820384</v>
      </c>
      <c r="DG122" s="18">
        <f t="shared" si="870"/>
        <v>36.128941919191924</v>
      </c>
      <c r="DH122" s="18">
        <f t="shared" si="870"/>
        <v>37.595025232403721</v>
      </c>
      <c r="DI122" s="18">
        <f t="shared" si="870"/>
        <v>53.698545454545453</v>
      </c>
      <c r="DJ122" s="18" t="e">
        <f t="shared" si="870"/>
        <v>#DIV/0!</v>
      </c>
      <c r="DK122" s="18" t="e">
        <f t="shared" si="870"/>
        <v>#DIV/0!</v>
      </c>
      <c r="DL122" s="260" t="e">
        <f t="shared" si="870"/>
        <v>#DIV/0!</v>
      </c>
      <c r="DM122" s="253"/>
      <c r="DO122" s="18" t="e">
        <f t="shared" ref="DO122:DU122" si="871">DO107/DO$89</f>
        <v>#DIV/0!</v>
      </c>
      <c r="DP122" s="18" t="e">
        <f t="shared" si="871"/>
        <v>#DIV/0!</v>
      </c>
      <c r="DQ122" s="18" t="e">
        <f t="shared" si="871"/>
        <v>#DIV/0!</v>
      </c>
      <c r="DR122" s="18" t="e">
        <f t="shared" si="871"/>
        <v>#DIV/0!</v>
      </c>
      <c r="DS122" s="18">
        <f t="shared" si="871"/>
        <v>60.885808080808076</v>
      </c>
      <c r="DT122" s="18">
        <f t="shared" si="871"/>
        <v>63.597981617647058</v>
      </c>
      <c r="DU122" s="260">
        <f t="shared" si="871"/>
        <v>48.660230414746543</v>
      </c>
      <c r="DV122" s="253"/>
      <c r="DX122" s="18">
        <f t="shared" si="859"/>
        <v>4.4499771428571426</v>
      </c>
      <c r="DY122" s="18">
        <f t="shared" si="859"/>
        <v>3.3386115384615382</v>
      </c>
      <c r="DZ122" s="18">
        <f t="shared" si="859"/>
        <v>4.3366486810551557</v>
      </c>
      <c r="EA122" s="18">
        <f t="shared" si="859"/>
        <v>65.143759907006228</v>
      </c>
      <c r="EB122" s="18">
        <f t="shared" si="859"/>
        <v>0</v>
      </c>
      <c r="EC122" s="18">
        <f t="shared" si="859"/>
        <v>0</v>
      </c>
      <c r="ED122" s="18">
        <f t="shared" si="859"/>
        <v>0</v>
      </c>
      <c r="EE122" s="253"/>
      <c r="EG122" s="18">
        <f t="shared" ref="EG122:EM122" si="872">IF(ISNUMBER(EG$89),IF(EG$89&gt;0,EG107/EG$89,),)</f>
        <v>0</v>
      </c>
      <c r="EH122" s="18">
        <f t="shared" si="872"/>
        <v>0</v>
      </c>
      <c r="EI122" s="18">
        <f t="shared" si="872"/>
        <v>0</v>
      </c>
      <c r="EJ122" s="18">
        <f t="shared" si="872"/>
        <v>0</v>
      </c>
      <c r="EK122" s="18">
        <f t="shared" si="872"/>
        <v>0</v>
      </c>
      <c r="EL122" s="18">
        <f t="shared" si="872"/>
        <v>0</v>
      </c>
      <c r="EM122" s="18">
        <f t="shared" si="872"/>
        <v>0</v>
      </c>
      <c r="EN122" s="253"/>
      <c r="EP122" s="18">
        <f t="shared" ref="EP122:EV122" si="873">IF(ISNUMBER(EP$89),IF(EP$89&gt;0,EP107/EP$89,),)</f>
        <v>0</v>
      </c>
      <c r="EQ122" s="18">
        <f t="shared" si="873"/>
        <v>0</v>
      </c>
      <c r="ER122" s="18">
        <f t="shared" si="873"/>
        <v>0</v>
      </c>
      <c r="ES122" s="18">
        <f t="shared" si="873"/>
        <v>0</v>
      </c>
      <c r="ET122" s="18">
        <f t="shared" si="873"/>
        <v>0</v>
      </c>
      <c r="EU122" s="18">
        <f t="shared" si="873"/>
        <v>0</v>
      </c>
      <c r="EV122" s="18">
        <f t="shared" si="873"/>
        <v>0</v>
      </c>
      <c r="EW122" s="253"/>
    </row>
    <row r="123" spans="3:153" ht="15.75" customHeight="1" outlineLevel="1" thickBot="1" x14ac:dyDescent="0.35">
      <c r="C123" s="609" t="s">
        <v>340</v>
      </c>
      <c r="D123" s="571" t="s">
        <v>42</v>
      </c>
      <c r="E123" s="572"/>
      <c r="F123" s="61"/>
      <c r="G123" s="64" t="s">
        <v>37</v>
      </c>
      <c r="BM123" s="59"/>
      <c r="BN123" s="18"/>
      <c r="BO123" s="18"/>
      <c r="BP123" s="18"/>
      <c r="BQ123" s="18"/>
      <c r="BR123" s="18"/>
      <c r="BS123" s="260"/>
      <c r="BT123" s="254"/>
      <c r="BV123" s="59"/>
      <c r="BW123" s="18"/>
      <c r="BX123" s="18"/>
      <c r="BY123" s="18"/>
      <c r="BZ123" s="18"/>
      <c r="CA123" s="18"/>
      <c r="CB123" s="260"/>
      <c r="CC123" s="254"/>
      <c r="CE123" s="18">
        <f t="shared" si="848"/>
        <v>0</v>
      </c>
      <c r="CF123" s="18">
        <f t="shared" si="848"/>
        <v>0</v>
      </c>
      <c r="CG123" s="18">
        <f t="shared" si="848"/>
        <v>0</v>
      </c>
      <c r="CH123" s="18">
        <f t="shared" si="848"/>
        <v>0</v>
      </c>
      <c r="CI123" s="18">
        <f t="shared" si="848"/>
        <v>0</v>
      </c>
      <c r="CJ123" s="18">
        <f t="shared" si="848"/>
        <v>0</v>
      </c>
      <c r="CK123" s="18">
        <f t="shared" si="848"/>
        <v>0</v>
      </c>
      <c r="CL123" s="254"/>
      <c r="CN123" s="18" t="e">
        <f t="shared" si="849"/>
        <v>#DIV/0!</v>
      </c>
      <c r="CO123" s="18">
        <f t="shared" si="849"/>
        <v>0</v>
      </c>
      <c r="CP123" s="18">
        <f t="shared" si="849"/>
        <v>0</v>
      </c>
      <c r="CQ123" s="18">
        <f t="shared" si="849"/>
        <v>0</v>
      </c>
      <c r="CR123" s="18">
        <f t="shared" si="849"/>
        <v>0</v>
      </c>
      <c r="CS123" s="18">
        <f t="shared" si="849"/>
        <v>0</v>
      </c>
      <c r="CT123" s="18">
        <f t="shared" si="849"/>
        <v>0</v>
      </c>
      <c r="CU123" s="254"/>
      <c r="CW123" s="18">
        <f t="shared" si="850"/>
        <v>0</v>
      </c>
      <c r="CX123" s="18">
        <f t="shared" si="850"/>
        <v>0</v>
      </c>
      <c r="CY123" s="18">
        <f t="shared" si="850"/>
        <v>0</v>
      </c>
      <c r="CZ123" s="18">
        <f t="shared" si="850"/>
        <v>0</v>
      </c>
      <c r="DA123" s="18">
        <f t="shared" si="850"/>
        <v>0</v>
      </c>
      <c r="DB123" s="18">
        <f t="shared" si="850"/>
        <v>0</v>
      </c>
      <c r="DC123" s="260">
        <f t="shared" si="850"/>
        <v>0</v>
      </c>
      <c r="DD123" s="254"/>
      <c r="DF123" s="18">
        <f t="shared" ref="DF123:DL123" si="874">DF108/DF$89</f>
        <v>0</v>
      </c>
      <c r="DG123" s="18">
        <f t="shared" si="874"/>
        <v>0</v>
      </c>
      <c r="DH123" s="18">
        <f t="shared" si="874"/>
        <v>0</v>
      </c>
      <c r="DI123" s="18">
        <f t="shared" si="874"/>
        <v>0</v>
      </c>
      <c r="DJ123" s="18" t="e">
        <f t="shared" si="874"/>
        <v>#DIV/0!</v>
      </c>
      <c r="DK123" s="18" t="e">
        <f t="shared" si="874"/>
        <v>#DIV/0!</v>
      </c>
      <c r="DL123" s="260" t="e">
        <f t="shared" si="874"/>
        <v>#DIV/0!</v>
      </c>
      <c r="DM123" s="254"/>
      <c r="DO123" s="18" t="e">
        <f t="shared" ref="DO123:DU123" si="875">DO108/DO$89</f>
        <v>#DIV/0!</v>
      </c>
      <c r="DP123" s="18" t="e">
        <f t="shared" si="875"/>
        <v>#DIV/0!</v>
      </c>
      <c r="DQ123" s="18" t="e">
        <f t="shared" si="875"/>
        <v>#DIV/0!</v>
      </c>
      <c r="DR123" s="18" t="e">
        <f t="shared" si="875"/>
        <v>#DIV/0!</v>
      </c>
      <c r="DS123" s="18">
        <f t="shared" si="875"/>
        <v>0</v>
      </c>
      <c r="DT123" s="18">
        <f t="shared" si="875"/>
        <v>0</v>
      </c>
      <c r="DU123" s="260">
        <f t="shared" si="875"/>
        <v>0</v>
      </c>
      <c r="DV123" s="254"/>
      <c r="DX123" s="18">
        <f t="shared" si="859"/>
        <v>0</v>
      </c>
      <c r="DY123" s="18">
        <f t="shared" si="859"/>
        <v>0</v>
      </c>
      <c r="DZ123" s="18">
        <f t="shared" si="859"/>
        <v>0</v>
      </c>
      <c r="EA123" s="18">
        <f t="shared" si="859"/>
        <v>0</v>
      </c>
      <c r="EB123" s="18">
        <f t="shared" si="859"/>
        <v>0</v>
      </c>
      <c r="EC123" s="18">
        <f t="shared" si="859"/>
        <v>0</v>
      </c>
      <c r="ED123" s="18">
        <f t="shared" si="859"/>
        <v>0</v>
      </c>
      <c r="EE123" s="254"/>
      <c r="EG123" s="18">
        <f t="shared" ref="EG123:EM123" si="876">IF(ISNUMBER(EG$89),IF(EG$89&gt;0,EG108/EG$89,),)</f>
        <v>0</v>
      </c>
      <c r="EH123" s="18">
        <f t="shared" si="876"/>
        <v>0</v>
      </c>
      <c r="EI123" s="18">
        <f t="shared" si="876"/>
        <v>0</v>
      </c>
      <c r="EJ123" s="18">
        <f t="shared" si="876"/>
        <v>0</v>
      </c>
      <c r="EK123" s="18">
        <f t="shared" si="876"/>
        <v>0</v>
      </c>
      <c r="EL123" s="18">
        <f t="shared" si="876"/>
        <v>0</v>
      </c>
      <c r="EM123" s="18">
        <f t="shared" si="876"/>
        <v>0</v>
      </c>
      <c r="EN123" s="254"/>
      <c r="EP123" s="18">
        <f t="shared" ref="EP123:EV123" si="877">IF(ISNUMBER(EP$89),IF(EP$89&gt;0,EP108/EP$89,),)</f>
        <v>0</v>
      </c>
      <c r="EQ123" s="18">
        <f t="shared" si="877"/>
        <v>0</v>
      </c>
      <c r="ER123" s="18">
        <f t="shared" si="877"/>
        <v>0</v>
      </c>
      <c r="ES123" s="18">
        <f t="shared" si="877"/>
        <v>0</v>
      </c>
      <c r="ET123" s="18">
        <f t="shared" si="877"/>
        <v>0</v>
      </c>
      <c r="EU123" s="18">
        <f t="shared" si="877"/>
        <v>0</v>
      </c>
      <c r="EV123" s="18">
        <f t="shared" si="877"/>
        <v>0</v>
      </c>
      <c r="EW123" s="254"/>
    </row>
    <row r="124" spans="3:153" ht="15.75" customHeight="1" outlineLevel="1" x14ac:dyDescent="0.3">
      <c r="C124" s="610" t="s">
        <v>341</v>
      </c>
      <c r="D124" s="563" t="s">
        <v>43</v>
      </c>
      <c r="E124" s="564"/>
      <c r="F124" s="61"/>
      <c r="G124" s="62" t="s">
        <v>37</v>
      </c>
      <c r="BM124" s="59">
        <f t="shared" ref="BM124:BS124" si="878">BM56</f>
        <v>0.18177499999999999</v>
      </c>
      <c r="BN124" s="59">
        <f t="shared" si="878"/>
        <v>0.19657516483516482</v>
      </c>
      <c r="BO124" s="59">
        <f t="shared" si="878"/>
        <v>0.20582789546079777</v>
      </c>
      <c r="BP124" s="59">
        <f t="shared" si="878"/>
        <v>0.25790657718120802</v>
      </c>
      <c r="BQ124" s="59" t="e">
        <f t="shared" si="878"/>
        <v>#DIV/0!</v>
      </c>
      <c r="BR124" s="59" t="e">
        <f t="shared" si="878"/>
        <v>#DIV/0!</v>
      </c>
      <c r="BS124" s="259" t="e">
        <f t="shared" si="878"/>
        <v>#DIV/0!</v>
      </c>
      <c r="BT124" s="253"/>
      <c r="BV124" s="59">
        <f t="shared" ref="BV124:CB124" si="879">BV56</f>
        <v>0.16898245161290323</v>
      </c>
      <c r="BW124" s="59">
        <f t="shared" si="879"/>
        <v>0.15059548514851484</v>
      </c>
      <c r="BX124" s="59">
        <f t="shared" si="879"/>
        <v>0.26812548387096774</v>
      </c>
      <c r="BY124" s="59">
        <f t="shared" si="879"/>
        <v>0.11071232876712328</v>
      </c>
      <c r="BZ124" s="59">
        <f t="shared" si="879"/>
        <v>0.74360492307692294</v>
      </c>
      <c r="CA124" s="59" t="e">
        <f t="shared" si="879"/>
        <v>#DIV/0!</v>
      </c>
      <c r="CB124" s="259" t="e">
        <f t="shared" si="879"/>
        <v>#DIV/0!</v>
      </c>
      <c r="CC124" s="253"/>
      <c r="CE124" s="18">
        <f t="shared" si="848"/>
        <v>1.4860655737704918</v>
      </c>
      <c r="CF124" s="18">
        <f t="shared" si="848"/>
        <v>0.58849765258215969</v>
      </c>
      <c r="CG124" s="18">
        <f t="shared" si="848"/>
        <v>1.0712820512820513</v>
      </c>
      <c r="CH124" s="18">
        <f t="shared" si="848"/>
        <v>0.80546075085324242</v>
      </c>
      <c r="CI124" s="18">
        <f t="shared" si="848"/>
        <v>8.478260869565217E-2</v>
      </c>
      <c r="CJ124" s="18">
        <f t="shared" si="848"/>
        <v>3.8709677419354833E-2</v>
      </c>
      <c r="CK124" s="18">
        <f t="shared" si="848"/>
        <v>0</v>
      </c>
      <c r="CL124" s="253"/>
      <c r="CN124" s="18" t="e">
        <f t="shared" si="849"/>
        <v>#DIV/0!</v>
      </c>
      <c r="CO124" s="18">
        <f t="shared" si="849"/>
        <v>1.0505976095617529</v>
      </c>
      <c r="CP124" s="18">
        <f t="shared" si="849"/>
        <v>0.68527315914489317</v>
      </c>
      <c r="CQ124" s="18">
        <f t="shared" si="849"/>
        <v>1.0298456260720412</v>
      </c>
      <c r="CR124" s="18">
        <f t="shared" si="849"/>
        <v>0.9584382871536522</v>
      </c>
      <c r="CS124" s="18">
        <f t="shared" si="849"/>
        <v>1.0050251256281409E-2</v>
      </c>
      <c r="CT124" s="18">
        <f t="shared" si="849"/>
        <v>0.13525179856115108</v>
      </c>
      <c r="CU124" s="253"/>
      <c r="CW124" s="18">
        <f t="shared" si="850"/>
        <v>1.3125836680053549</v>
      </c>
      <c r="CX124" s="18">
        <f t="shared" si="850"/>
        <v>0.84285714285714286</v>
      </c>
      <c r="CY124" s="18">
        <f t="shared" si="850"/>
        <v>0.79298245614035079</v>
      </c>
      <c r="CZ124" s="18">
        <f t="shared" si="850"/>
        <v>1.172529069767442</v>
      </c>
      <c r="DA124" s="18" t="e">
        <f>DA109/DA$39</f>
        <v>#DIV/0!</v>
      </c>
      <c r="DB124" s="18" t="e">
        <f>DB109/DB$39</f>
        <v>#DIV/0!</v>
      </c>
      <c r="DC124" s="18" t="e">
        <f>DC109/DC$39</f>
        <v>#DIV/0!</v>
      </c>
      <c r="DD124" s="253"/>
      <c r="DF124" s="18">
        <f t="shared" ref="DF124:DI124" si="880">DF109/DF$89</f>
        <v>1.0778434878283591</v>
      </c>
      <c r="DG124" s="18">
        <f t="shared" si="880"/>
        <v>0.45037878787878788</v>
      </c>
      <c r="DH124" s="18">
        <f t="shared" si="880"/>
        <v>0.76281540504648071</v>
      </c>
      <c r="DI124" s="18">
        <f t="shared" si="880"/>
        <v>1.1778656126482214</v>
      </c>
      <c r="DJ124" s="18" t="e">
        <f>DJ109/DJ$39</f>
        <v>#DIV/0!</v>
      </c>
      <c r="DK124" s="18" t="e">
        <f>DK109/DK$39</f>
        <v>#DIV/0!</v>
      </c>
      <c r="DL124" s="18" t="e">
        <f>DL109/DL$39</f>
        <v>#DIV/0!</v>
      </c>
      <c r="DM124" s="253"/>
      <c r="DO124" s="18" t="e">
        <f t="shared" ref="DO124:DR124" si="881">DO109/DO$89</f>
        <v>#DIV/0!</v>
      </c>
      <c r="DP124" s="18" t="e">
        <f t="shared" si="881"/>
        <v>#DIV/0!</v>
      </c>
      <c r="DQ124" s="18" t="e">
        <f t="shared" si="881"/>
        <v>#DIV/0!</v>
      </c>
      <c r="DR124" s="18" t="e">
        <f t="shared" si="881"/>
        <v>#DIV/0!</v>
      </c>
      <c r="DS124" s="18" t="e">
        <f>DS109/DS$39</f>
        <v>#DIV/0!</v>
      </c>
      <c r="DT124" s="18" t="e">
        <f>DT109/DT$39</f>
        <v>#DIV/0!</v>
      </c>
      <c r="DU124" s="18" t="e">
        <f>DU109/DU$39</f>
        <v>#DIV/0!</v>
      </c>
      <c r="DV124" s="253"/>
      <c r="DX124" s="18">
        <f t="shared" si="859"/>
        <v>7.7142857142857152E-3</v>
      </c>
      <c r="DY124" s="18">
        <f t="shared" si="859"/>
        <v>0.19692307692307692</v>
      </c>
      <c r="DZ124" s="18">
        <f t="shared" si="859"/>
        <v>1.0189448441247002</v>
      </c>
      <c r="EA124" s="18">
        <f t="shared" si="859"/>
        <v>5.3740885554263969</v>
      </c>
      <c r="EB124" s="18">
        <f t="shared" si="859"/>
        <v>0</v>
      </c>
      <c r="EC124" s="18">
        <f t="shared" si="859"/>
        <v>0</v>
      </c>
      <c r="ED124" s="18">
        <f t="shared" si="859"/>
        <v>0</v>
      </c>
      <c r="EE124" s="253"/>
      <c r="EG124" s="18">
        <f t="shared" ref="EG124:EM124" si="882">IF(ISNUMBER(EG$89),IF(EG$89&gt;0,EG109/EG$89,),)</f>
        <v>0</v>
      </c>
      <c r="EH124" s="18">
        <f t="shared" si="882"/>
        <v>0</v>
      </c>
      <c r="EI124" s="18">
        <f t="shared" si="882"/>
        <v>0</v>
      </c>
      <c r="EJ124" s="18">
        <f t="shared" si="882"/>
        <v>0</v>
      </c>
      <c r="EK124" s="18">
        <f t="shared" si="882"/>
        <v>0</v>
      </c>
      <c r="EL124" s="18">
        <f t="shared" si="882"/>
        <v>0</v>
      </c>
      <c r="EM124" s="18">
        <f t="shared" si="882"/>
        <v>0</v>
      </c>
      <c r="EN124" s="253"/>
      <c r="EP124" s="18">
        <f t="shared" ref="EP124:EV124" si="883">IF(ISNUMBER(EP$89),IF(EP$89&gt;0,EP109/EP$89,),)</f>
        <v>0</v>
      </c>
      <c r="EQ124" s="18">
        <f t="shared" si="883"/>
        <v>0</v>
      </c>
      <c r="ER124" s="18">
        <f t="shared" si="883"/>
        <v>0</v>
      </c>
      <c r="ES124" s="18">
        <f t="shared" si="883"/>
        <v>0</v>
      </c>
      <c r="ET124" s="18">
        <f t="shared" si="883"/>
        <v>0</v>
      </c>
      <c r="EU124" s="18">
        <f t="shared" si="883"/>
        <v>0</v>
      </c>
      <c r="EV124" s="18">
        <f t="shared" si="883"/>
        <v>0</v>
      </c>
      <c r="EW124" s="253"/>
    </row>
    <row r="125" spans="3:153" ht="15.75" customHeight="1" outlineLevel="1" x14ac:dyDescent="0.3">
      <c r="C125" s="611" t="s">
        <v>342</v>
      </c>
      <c r="D125" s="563" t="s">
        <v>44</v>
      </c>
      <c r="E125" s="564"/>
      <c r="F125" s="61"/>
      <c r="G125" s="64" t="s">
        <v>37</v>
      </c>
      <c r="BM125" s="59">
        <f t="shared" ref="BM125:BS125" si="884">BM55</f>
        <v>17.014139999999998</v>
      </c>
      <c r="BN125" s="59">
        <f t="shared" si="884"/>
        <v>10.733003999999999</v>
      </c>
      <c r="BO125" s="59">
        <f t="shared" si="884"/>
        <v>14.963687999999999</v>
      </c>
      <c r="BP125" s="59">
        <f t="shared" si="884"/>
        <v>11.528423999999999</v>
      </c>
      <c r="BQ125" s="59">
        <f t="shared" si="884"/>
        <v>2.6589239999999998</v>
      </c>
      <c r="BR125" s="59">
        <f t="shared" si="884"/>
        <v>1.1521440000000001</v>
      </c>
      <c r="BS125" s="259">
        <f t="shared" si="884"/>
        <v>1.2843</v>
      </c>
      <c r="BT125" s="253"/>
      <c r="BV125" s="59">
        <f t="shared" ref="BV125:CB125" si="885">BV55</f>
        <v>15.715368</v>
      </c>
      <c r="BW125" s="59">
        <f t="shared" si="885"/>
        <v>15.210144</v>
      </c>
      <c r="BX125" s="59">
        <f t="shared" si="885"/>
        <v>9.9742680000000004</v>
      </c>
      <c r="BY125" s="59">
        <f t="shared" si="885"/>
        <v>11.3148</v>
      </c>
      <c r="BZ125" s="59">
        <f t="shared" si="885"/>
        <v>4.8334319999999993</v>
      </c>
      <c r="CA125" s="59">
        <f t="shared" si="885"/>
        <v>1.0116000000000001</v>
      </c>
      <c r="CB125" s="259">
        <f t="shared" si="885"/>
        <v>1.025136</v>
      </c>
      <c r="CC125" s="253"/>
      <c r="CE125" s="18">
        <f t="shared" si="848"/>
        <v>78.641393442622956</v>
      </c>
      <c r="CF125" s="18">
        <f t="shared" si="848"/>
        <v>38.404225352112682</v>
      </c>
      <c r="CG125" s="18">
        <f t="shared" si="848"/>
        <v>67.072564102564101</v>
      </c>
      <c r="CH125" s="18">
        <f t="shared" si="848"/>
        <v>59.104266211604106</v>
      </c>
      <c r="CI125" s="18">
        <f t="shared" si="848"/>
        <v>18.442028985507246</v>
      </c>
      <c r="CJ125" s="18">
        <f t="shared" si="848"/>
        <v>21.021505376344084</v>
      </c>
      <c r="CK125" s="18">
        <f t="shared" si="848"/>
        <v>21.456953642384107</v>
      </c>
      <c r="CL125" s="253"/>
      <c r="CN125" s="18" t="e">
        <f t="shared" si="849"/>
        <v>#DIV/0!</v>
      </c>
      <c r="CO125" s="18">
        <f t="shared" si="849"/>
        <v>62.515670650730407</v>
      </c>
      <c r="CP125" s="18">
        <f t="shared" si="849"/>
        <v>80.144061757719712</v>
      </c>
      <c r="CQ125" s="18">
        <f t="shared" si="849"/>
        <v>64.921783876500868</v>
      </c>
      <c r="CR125" s="18">
        <f t="shared" si="849"/>
        <v>60.82947103274558</v>
      </c>
      <c r="CS125" s="18">
        <f t="shared" si="849"/>
        <v>23.038190954773871</v>
      </c>
      <c r="CT125" s="18">
        <f t="shared" si="849"/>
        <v>30.708633093525179</v>
      </c>
      <c r="CU125" s="253"/>
      <c r="CW125" s="18">
        <f t="shared" si="850"/>
        <v>75.117804551539507</v>
      </c>
      <c r="CX125" s="18">
        <f t="shared" si="850"/>
        <v>50.562992125984252</v>
      </c>
      <c r="CY125" s="18">
        <f t="shared" si="850"/>
        <v>48.784210526315789</v>
      </c>
      <c r="CZ125" s="18">
        <f t="shared" si="850"/>
        <v>70.954215116279073</v>
      </c>
      <c r="DA125" s="18" t="e">
        <f>DA110/DA$39</f>
        <v>#DIV/0!</v>
      </c>
      <c r="DB125" s="18" t="e">
        <f t="shared" ref="DB125:DC125" si="886">DB110/DB$39</f>
        <v>#DIV/0!</v>
      </c>
      <c r="DC125" s="18" t="e">
        <f t="shared" si="886"/>
        <v>#DIV/0!</v>
      </c>
      <c r="DD125" s="253"/>
      <c r="DF125" s="18">
        <f t="shared" ref="DF125:DI125" si="887">DF110/DF$89</f>
        <v>63.648466510796311</v>
      </c>
      <c r="DG125" s="18">
        <f t="shared" si="887"/>
        <v>28.331818181818182</v>
      </c>
      <c r="DH125" s="18">
        <f t="shared" si="887"/>
        <v>50.665604249667993</v>
      </c>
      <c r="DI125" s="18">
        <f t="shared" si="887"/>
        <v>90.358893280632401</v>
      </c>
      <c r="DJ125" s="18" t="e">
        <f>DJ110/DJ$39</f>
        <v>#DIV/0!</v>
      </c>
      <c r="DK125" s="18" t="e">
        <f t="shared" ref="DK125:DL125" si="888">DK110/DK$39</f>
        <v>#DIV/0!</v>
      </c>
      <c r="DL125" s="18" t="e">
        <f t="shared" si="888"/>
        <v>#DIV/0!</v>
      </c>
      <c r="DM125" s="253"/>
      <c r="DO125" s="18" t="e">
        <f t="shared" ref="DO125:DR125" si="889">DO110/DO$89</f>
        <v>#DIV/0!</v>
      </c>
      <c r="DP125" s="18" t="e">
        <f t="shared" si="889"/>
        <v>#DIV/0!</v>
      </c>
      <c r="DQ125" s="18" t="e">
        <f t="shared" si="889"/>
        <v>#DIV/0!</v>
      </c>
      <c r="DR125" s="18" t="e">
        <f t="shared" si="889"/>
        <v>#DIV/0!</v>
      </c>
      <c r="DS125" s="18" t="e">
        <f>DS110/DS$39</f>
        <v>#DIV/0!</v>
      </c>
      <c r="DT125" s="18" t="e">
        <f t="shared" ref="DT125:DU125" si="890">DT110/DT$39</f>
        <v>#DIV/0!</v>
      </c>
      <c r="DU125" s="18" t="e">
        <f t="shared" si="890"/>
        <v>#DIV/0!</v>
      </c>
      <c r="DV125" s="253"/>
      <c r="DX125" s="18">
        <f t="shared" si="859"/>
        <v>2.5577142857142854</v>
      </c>
      <c r="DY125" s="18">
        <f t="shared" si="859"/>
        <v>6.4269230769230763</v>
      </c>
      <c r="DZ125" s="18">
        <f t="shared" si="859"/>
        <v>60.491366906474809</v>
      </c>
      <c r="EA125" s="18">
        <f t="shared" si="859"/>
        <v>357.92401986684979</v>
      </c>
      <c r="EB125" s="18">
        <f t="shared" si="859"/>
        <v>0</v>
      </c>
      <c r="EC125" s="18">
        <f t="shared" si="859"/>
        <v>0</v>
      </c>
      <c r="ED125" s="18">
        <f t="shared" si="859"/>
        <v>0</v>
      </c>
      <c r="EE125" s="253"/>
      <c r="EG125" s="18">
        <f t="shared" ref="EG125:EM125" si="891">IF(ISNUMBER(EG$89),IF(EG$89&gt;0,EG110/EG$89,),)</f>
        <v>0</v>
      </c>
      <c r="EH125" s="18">
        <f t="shared" si="891"/>
        <v>0</v>
      </c>
      <c r="EI125" s="18">
        <f t="shared" si="891"/>
        <v>0</v>
      </c>
      <c r="EJ125" s="18">
        <f t="shared" si="891"/>
        <v>0</v>
      </c>
      <c r="EK125" s="18">
        <f t="shared" si="891"/>
        <v>0</v>
      </c>
      <c r="EL125" s="18">
        <f t="shared" si="891"/>
        <v>0</v>
      </c>
      <c r="EM125" s="18">
        <f t="shared" si="891"/>
        <v>0</v>
      </c>
      <c r="EN125" s="253"/>
      <c r="EP125" s="18">
        <f t="shared" ref="EP125:EV125" si="892">IF(ISNUMBER(EP$89),IF(EP$89&gt;0,EP110/EP$89,),)</f>
        <v>0</v>
      </c>
      <c r="EQ125" s="18">
        <f t="shared" si="892"/>
        <v>0</v>
      </c>
      <c r="ER125" s="18">
        <f t="shared" si="892"/>
        <v>0</v>
      </c>
      <c r="ES125" s="18">
        <f t="shared" si="892"/>
        <v>0</v>
      </c>
      <c r="ET125" s="18">
        <f t="shared" si="892"/>
        <v>0</v>
      </c>
      <c r="EU125" s="18">
        <f t="shared" si="892"/>
        <v>0</v>
      </c>
      <c r="EV125" s="18">
        <f t="shared" si="892"/>
        <v>0</v>
      </c>
      <c r="EW125" s="253"/>
    </row>
    <row r="126" spans="3:153" ht="16.5" customHeight="1" outlineLevel="1" x14ac:dyDescent="0.3">
      <c r="C126" s="611" t="s">
        <v>343</v>
      </c>
      <c r="D126" s="563" t="s">
        <v>45</v>
      </c>
      <c r="E126" s="564"/>
      <c r="F126" s="61"/>
      <c r="G126" s="62" t="s">
        <v>37</v>
      </c>
      <c r="BM126" s="59">
        <f>BM56*Dashboard!BS74*0.036</f>
        <v>10.841279129999998</v>
      </c>
      <c r="BN126" s="59">
        <f>BN56*Dashboard!BT74*0.036</f>
        <v>7.9091388530901092</v>
      </c>
      <c r="BO126" s="59">
        <f>BO56*Dashboard!BU74*0.036</f>
        <v>11.872062445904811</v>
      </c>
      <c r="BP126" s="59">
        <f>BP56*Dashboard!BV74*0.036</f>
        <v>12.947983065857715</v>
      </c>
      <c r="BQ126" s="59" t="e">
        <f>BQ56*Dashboard!BW74*0.036</f>
        <v>#DIV/0!</v>
      </c>
      <c r="BR126" s="59" t="e">
        <f>BR56*Dashboard!BX74*0.036</f>
        <v>#DIV/0!</v>
      </c>
      <c r="BS126" s="259" t="e">
        <f>BS56*Dashboard!BY74*0.036</f>
        <v>#DIV/0!</v>
      </c>
      <c r="BT126" s="253"/>
      <c r="BV126" s="59">
        <f>BV56*90*0.036</f>
        <v>0.54750314322580651</v>
      </c>
      <c r="BW126" s="59">
        <f>BW56*0.036*Dashboard!CC74</f>
        <v>0</v>
      </c>
      <c r="BX126" s="59">
        <f>BX56*Dashboard!CD74*0.036</f>
        <v>0</v>
      </c>
      <c r="BY126" s="59">
        <f>BY56*Dashboard!CE74*0.036</f>
        <v>6.5928128942465749</v>
      </c>
      <c r="BZ126" s="59">
        <f>BZ56*Dashboard!CF74*0.036</f>
        <v>27.876439821489221</v>
      </c>
      <c r="CA126" s="59" t="e">
        <f>CA56*Dashboard!CG74*0.036</f>
        <v>#DIV/0!</v>
      </c>
      <c r="CB126" s="259" t="e">
        <f>CB56*Dashboard!CH74*0.036</f>
        <v>#DIV/0!</v>
      </c>
      <c r="CC126" s="253"/>
      <c r="CE126" s="18">
        <f t="shared" si="848"/>
        <v>5.4212182003538825</v>
      </c>
      <c r="CF126" s="18">
        <f t="shared" si="848"/>
        <v>2.1785907240316904</v>
      </c>
      <c r="CG126" s="18">
        <f t="shared" si="848"/>
        <v>3.8094803172383864</v>
      </c>
      <c r="CH126" s="18">
        <f t="shared" si="848"/>
        <v>3.0228669499745382</v>
      </c>
      <c r="CI126" s="18">
        <f t="shared" si="848"/>
        <v>0</v>
      </c>
      <c r="CJ126" s="18">
        <f t="shared" si="848"/>
        <v>0</v>
      </c>
      <c r="CK126" s="18">
        <f t="shared" si="848"/>
        <v>0</v>
      </c>
      <c r="CL126" s="253"/>
      <c r="CN126" s="18" t="e">
        <f>CN111/CN$89</f>
        <v>#DIV/0!</v>
      </c>
      <c r="CO126" s="18">
        <f>CO111/CO$39</f>
        <v>3.1020265611695392</v>
      </c>
      <c r="CP126" s="18">
        <f>CP111/CP$39</f>
        <v>2.7063130291761275</v>
      </c>
      <c r="CQ126" s="18">
        <f>CQ111/CQ$39</f>
        <v>2.3712280467346192</v>
      </c>
      <c r="CR126" s="18">
        <f>CR111/CR$89</f>
        <v>3.4959911638430952</v>
      </c>
      <c r="CS126" s="18">
        <f>CS111/CS$89</f>
        <v>4.7450366587033527E-2</v>
      </c>
      <c r="CT126" s="18">
        <f>CT111/CT$89</f>
        <v>0.39857876963735128</v>
      </c>
      <c r="CU126" s="253"/>
      <c r="CW126" s="18">
        <f>CW111/CW$39</f>
        <v>2.408249909881178</v>
      </c>
      <c r="CX126" s="18">
        <f>CX111/CX$39</f>
        <v>2.6730226154500438</v>
      </c>
      <c r="CY126" s="18">
        <f>CY111/CY$39</f>
        <v>2.6348363803853854</v>
      </c>
      <c r="CZ126" s="18" t="e">
        <f>CZ111/CZ$39</f>
        <v>#DIV/0!</v>
      </c>
      <c r="DA126" s="18" t="e">
        <f>DA111/DA$39</f>
        <v>#DIV/0!</v>
      </c>
      <c r="DB126" s="18" t="e">
        <f t="shared" ref="DB126:DC126" si="893">DB111/DB$39</f>
        <v>#DIV/0!</v>
      </c>
      <c r="DC126" s="18" t="e">
        <f t="shared" si="893"/>
        <v>#DIV/0!</v>
      </c>
      <c r="DD126" s="253"/>
      <c r="DF126" s="18">
        <f>DF111/DF$39</f>
        <v>2.6691331262577651</v>
      </c>
      <c r="DG126" s="18">
        <f>DG111/DG$39</f>
        <v>4.2076271118850448</v>
      </c>
      <c r="DH126" s="18">
        <f>DH111/DH$39</f>
        <v>2.8873153797677276</v>
      </c>
      <c r="DI126" s="18" t="e">
        <f>DI111/DI$39</f>
        <v>#DIV/0!</v>
      </c>
      <c r="DJ126" s="18" t="e">
        <f>DJ111/DJ$39</f>
        <v>#DIV/0!</v>
      </c>
      <c r="DK126" s="18" t="e">
        <f t="shared" ref="DK126:DL126" si="894">DK111/DK$39</f>
        <v>#DIV/0!</v>
      </c>
      <c r="DL126" s="18" t="e">
        <f t="shared" si="894"/>
        <v>#DIV/0!</v>
      </c>
      <c r="DM126" s="253"/>
      <c r="DO126" s="18" t="e">
        <f>DO111/DO$39</f>
        <v>#DIV/0!</v>
      </c>
      <c r="DP126" s="18" t="e">
        <f>DP111/DP$39</f>
        <v>#DIV/0!</v>
      </c>
      <c r="DQ126" s="18" t="e">
        <f>DQ111/DQ$39</f>
        <v>#DIV/0!</v>
      </c>
      <c r="DR126" s="18" t="e">
        <f>DR111/DR$39</f>
        <v>#DIV/0!</v>
      </c>
      <c r="DS126" s="18" t="e">
        <f>DS111/DS$39</f>
        <v>#DIV/0!</v>
      </c>
      <c r="DT126" s="18" t="e">
        <f t="shared" ref="DT126:DU126" si="895">DT111/DT$39</f>
        <v>#DIV/0!</v>
      </c>
      <c r="DU126" s="18" t="e">
        <f t="shared" si="895"/>
        <v>#DIV/0!</v>
      </c>
      <c r="DV126" s="253"/>
      <c r="DX126" s="18">
        <f>IF(ISNUMBER(DX$39),IF(DX$39&gt;0,DX111/DX$39,),)</f>
        <v>0</v>
      </c>
      <c r="DY126" s="18">
        <f t="shared" ref="DY126:ED126" si="896">IF(ISNUMBER(DY$39),IF(DY$39&gt;0,DY111/DY$39,),)</f>
        <v>0</v>
      </c>
      <c r="DZ126" s="18">
        <f t="shared" si="896"/>
        <v>3.0797460097685874</v>
      </c>
      <c r="EA126" s="18">
        <f t="shared" si="896"/>
        <v>4.2283024672286702</v>
      </c>
      <c r="EB126" s="18">
        <f t="shared" si="896"/>
        <v>0</v>
      </c>
      <c r="EC126" s="18">
        <f t="shared" si="896"/>
        <v>0</v>
      </c>
      <c r="ED126" s="18">
        <f t="shared" si="896"/>
        <v>0</v>
      </c>
      <c r="EE126" s="253"/>
      <c r="EG126" s="18">
        <f>IF(ISNUMBER(EG$39),IF(EG$39&gt;0,EG111/EG$39,),)</f>
        <v>0</v>
      </c>
      <c r="EH126" s="18">
        <f t="shared" ref="EH126:EM126" si="897">IF(ISNUMBER(EH$39),IF(EH$39&gt;0,EH111/EH$39,),)</f>
        <v>0</v>
      </c>
      <c r="EI126" s="18">
        <f t="shared" si="897"/>
        <v>0</v>
      </c>
      <c r="EJ126" s="18">
        <f t="shared" si="897"/>
        <v>0</v>
      </c>
      <c r="EK126" s="18">
        <f t="shared" si="897"/>
        <v>0</v>
      </c>
      <c r="EL126" s="18">
        <f t="shared" si="897"/>
        <v>0</v>
      </c>
      <c r="EM126" s="18">
        <f t="shared" si="897"/>
        <v>0</v>
      </c>
      <c r="EN126" s="253"/>
      <c r="EP126" s="18">
        <f>IF(ISNUMBER(EP$39),IF(EP$39&gt;0,EP111/EP$39,),)</f>
        <v>0</v>
      </c>
      <c r="EQ126" s="18">
        <f t="shared" ref="EQ126:EV126" si="898">IF(ISNUMBER(EQ$39),IF(EQ$39&gt;0,EQ111/EQ$39,),)</f>
        <v>0</v>
      </c>
      <c r="ER126" s="18">
        <f t="shared" si="898"/>
        <v>0</v>
      </c>
      <c r="ES126" s="18">
        <f t="shared" si="898"/>
        <v>0</v>
      </c>
      <c r="ET126" s="18">
        <f t="shared" si="898"/>
        <v>0</v>
      </c>
      <c r="EU126" s="18">
        <f t="shared" si="898"/>
        <v>0</v>
      </c>
      <c r="EV126" s="18">
        <f t="shared" si="898"/>
        <v>0</v>
      </c>
      <c r="EW126" s="253"/>
    </row>
    <row r="127" spans="3:153" ht="16.5" customHeight="1" outlineLevel="1" x14ac:dyDescent="0.3">
      <c r="C127" s="612" t="s">
        <v>277</v>
      </c>
      <c r="D127" s="547" t="s">
        <v>277</v>
      </c>
      <c r="E127" s="548"/>
      <c r="F127" s="61"/>
      <c r="G127" s="64"/>
      <c r="BM127" s="59"/>
      <c r="BN127" s="59"/>
      <c r="BO127" s="59"/>
      <c r="BP127" s="59"/>
      <c r="BQ127" s="59"/>
      <c r="BR127" s="59"/>
      <c r="BS127" s="259"/>
      <c r="BT127" s="253"/>
      <c r="BV127" s="59"/>
      <c r="BW127" s="59"/>
      <c r="BX127" s="59"/>
      <c r="BY127" s="59"/>
      <c r="BZ127" s="59"/>
      <c r="CA127" s="59"/>
      <c r="CB127" s="259"/>
      <c r="CC127" s="253"/>
      <c r="CE127" s="18">
        <f>CE112/CE39</f>
        <v>0.53333333333333333</v>
      </c>
      <c r="CF127" s="18">
        <f>CF112/CF39</f>
        <v>0.60625000000000007</v>
      </c>
      <c r="CG127" s="18">
        <f>CG112/CG39</f>
        <v>0.50864312267657996</v>
      </c>
      <c r="CH127" s="18">
        <f>CH112/CH39</f>
        <v>0.56785714285714284</v>
      </c>
      <c r="CI127" s="18"/>
      <c r="CJ127" s="18"/>
      <c r="CK127" s="18"/>
      <c r="CL127" s="253"/>
      <c r="CN127" s="18" t="e">
        <f>CN112/CN39</f>
        <v>#DIV/0!</v>
      </c>
      <c r="CO127" s="18">
        <f>CO112/CO39</f>
        <v>0.57253321716401662</v>
      </c>
      <c r="CP127" s="18">
        <f>CP112/CP39</f>
        <v>0.34070796460176989</v>
      </c>
      <c r="CQ127" s="18">
        <f>CQ112/CQ39</f>
        <v>0.52796257796257795</v>
      </c>
      <c r="CR127" s="18"/>
      <c r="CS127" s="18"/>
      <c r="CT127" s="18"/>
      <c r="CU127" s="253"/>
      <c r="CW127" s="18">
        <f>CW112/CW39</f>
        <v>0.45336225596529284</v>
      </c>
      <c r="CX127" s="18">
        <f>CX112/CX39</f>
        <v>0.54912109374999996</v>
      </c>
      <c r="CY127" s="18">
        <f>CY112/CY39</f>
        <v>0.57686939182452646</v>
      </c>
      <c r="CZ127" s="18" t="e">
        <f>CZ112/CZ39</f>
        <v>#DIV/0!</v>
      </c>
      <c r="DA127" s="18" t="e">
        <f t="shared" ref="DA127:DC127" si="899">DA112/DA39</f>
        <v>#DIV/0!</v>
      </c>
      <c r="DB127" s="18" t="e">
        <f t="shared" si="899"/>
        <v>#DIV/0!</v>
      </c>
      <c r="DC127" s="18" t="e">
        <f t="shared" si="899"/>
        <v>#DIV/0!</v>
      </c>
      <c r="DD127" s="253"/>
      <c r="DF127" s="18">
        <f>DF112/DF39</f>
        <v>0.63195380173243498</v>
      </c>
      <c r="DG127" s="18">
        <f>DG112/DG39</f>
        <v>1.0439393939393939</v>
      </c>
      <c r="DH127" s="18">
        <f>DH112/DH39</f>
        <v>0.55289139633286322</v>
      </c>
      <c r="DI127" s="18" t="e">
        <f>DI112/DI39</f>
        <v>#DIV/0!</v>
      </c>
      <c r="DJ127" s="18" t="e">
        <f t="shared" ref="DJ127:DL127" si="900">DJ112/DJ39</f>
        <v>#DIV/0!</v>
      </c>
      <c r="DK127" s="18" t="e">
        <f t="shared" si="900"/>
        <v>#DIV/0!</v>
      </c>
      <c r="DL127" s="18" t="e">
        <f t="shared" si="900"/>
        <v>#DIV/0!</v>
      </c>
      <c r="DM127" s="253"/>
      <c r="DO127" s="18" t="e">
        <f>DO112/DO39</f>
        <v>#DIV/0!</v>
      </c>
      <c r="DP127" s="18" t="e">
        <f>DP112/DP39</f>
        <v>#DIV/0!</v>
      </c>
      <c r="DQ127" s="18" t="e">
        <f>DQ112/DQ39</f>
        <v>#DIV/0!</v>
      </c>
      <c r="DR127" s="18" t="e">
        <f>DR112/DR39</f>
        <v>#DIV/0!</v>
      </c>
      <c r="DS127" s="18" t="e">
        <f t="shared" ref="DS127:DU127" si="901">DS112/DS39</f>
        <v>#DIV/0!</v>
      </c>
      <c r="DT127" s="18" t="e">
        <f t="shared" si="901"/>
        <v>#DIV/0!</v>
      </c>
      <c r="DU127" s="18" t="e">
        <f t="shared" si="901"/>
        <v>#DIV/0!</v>
      </c>
      <c r="DV127" s="253"/>
      <c r="DX127" s="18">
        <f>IF(ISNUMBER(DX$39),IF(DX$39&gt;0,DX112/DX39,),)</f>
        <v>0</v>
      </c>
      <c r="DY127" s="18">
        <f t="shared" ref="DY127:ED127" si="902">IF(ISNUMBER(DY$39),IF(DY$39&gt;0,DY112/DY39,),)</f>
        <v>0</v>
      </c>
      <c r="DZ127" s="18">
        <f t="shared" si="902"/>
        <v>0.71067146282973614</v>
      </c>
      <c r="EA127" s="18">
        <f t="shared" si="902"/>
        <v>0.89580335731414851</v>
      </c>
      <c r="EB127" s="18">
        <f t="shared" si="902"/>
        <v>0</v>
      </c>
      <c r="EC127" s="18">
        <f t="shared" si="902"/>
        <v>0</v>
      </c>
      <c r="ED127" s="18">
        <f t="shared" si="902"/>
        <v>0</v>
      </c>
      <c r="EE127" s="253"/>
      <c r="EG127" s="18">
        <f>IF(ISNUMBER(EG$39),IF(EG$39&gt;0,EG112/EG39,),)</f>
        <v>0</v>
      </c>
      <c r="EH127" s="18">
        <f t="shared" ref="EH127:EM127" si="903">IF(ISNUMBER(EH$39),IF(EH$39&gt;0,EH112/EH39,),)</f>
        <v>0</v>
      </c>
      <c r="EI127" s="18">
        <f t="shared" si="903"/>
        <v>0</v>
      </c>
      <c r="EJ127" s="18">
        <f t="shared" si="903"/>
        <v>0</v>
      </c>
      <c r="EK127" s="18">
        <f t="shared" si="903"/>
        <v>0</v>
      </c>
      <c r="EL127" s="18">
        <f t="shared" si="903"/>
        <v>0</v>
      </c>
      <c r="EM127" s="18">
        <f t="shared" si="903"/>
        <v>0</v>
      </c>
      <c r="EN127" s="253"/>
      <c r="EP127" s="18">
        <f>IF(ISNUMBER(EP$39),IF(EP$39&gt;0,EP112/EP39,),)</f>
        <v>0</v>
      </c>
      <c r="EQ127" s="18">
        <f t="shared" ref="EQ127:EV127" si="904">IF(ISNUMBER(EQ$39),IF(EQ$39&gt;0,EQ112/EQ39,),)</f>
        <v>0</v>
      </c>
      <c r="ER127" s="18">
        <f t="shared" si="904"/>
        <v>0</v>
      </c>
      <c r="ES127" s="18">
        <f t="shared" si="904"/>
        <v>0</v>
      </c>
      <c r="ET127" s="18">
        <f t="shared" si="904"/>
        <v>0</v>
      </c>
      <c r="EU127" s="18">
        <f t="shared" si="904"/>
        <v>0</v>
      </c>
      <c r="EV127" s="18">
        <f t="shared" si="904"/>
        <v>0</v>
      </c>
      <c r="EW127" s="253"/>
    </row>
    <row r="128" spans="3:153" ht="15.75" customHeight="1" outlineLevel="1" thickBot="1" x14ac:dyDescent="0.35">
      <c r="C128" s="612" t="s">
        <v>344</v>
      </c>
      <c r="D128" s="563" t="s">
        <v>46</v>
      </c>
      <c r="E128" s="564"/>
      <c r="F128" s="61"/>
      <c r="G128" s="64" t="s">
        <v>37</v>
      </c>
      <c r="BM128" s="59">
        <f t="shared" ref="BM128:BS128" si="905">BM58</f>
        <v>374.33539999999999</v>
      </c>
      <c r="BN128" s="59">
        <f t="shared" si="905"/>
        <v>434.53570000000002</v>
      </c>
      <c r="BO128" s="59">
        <f t="shared" si="905"/>
        <v>360.02080000000001</v>
      </c>
      <c r="BP128" s="59">
        <f t="shared" si="905"/>
        <v>323.5539</v>
      </c>
      <c r="BQ128" s="59">
        <f t="shared" si="905"/>
        <v>285.53140000000002</v>
      </c>
      <c r="BR128" s="59">
        <f t="shared" si="905"/>
        <v>226.25470000000001</v>
      </c>
      <c r="BS128" s="259">
        <f t="shared" si="905"/>
        <v>73.089100000000002</v>
      </c>
      <c r="BT128" s="253"/>
      <c r="BV128" s="59">
        <f t="shared" ref="BV128:CB128" si="906">BV58</f>
        <v>375</v>
      </c>
      <c r="BW128" s="59">
        <f t="shared" si="906"/>
        <v>426.50720000000001</v>
      </c>
      <c r="BX128" s="59">
        <f t="shared" si="906"/>
        <v>406.82749999999999</v>
      </c>
      <c r="BY128" s="59">
        <f t="shared" si="906"/>
        <v>341.92919999999998</v>
      </c>
      <c r="BZ128" s="59">
        <f t="shared" si="906"/>
        <v>260.52199999999999</v>
      </c>
      <c r="CA128" s="59">
        <f t="shared" si="906"/>
        <v>119.91040000000001</v>
      </c>
      <c r="CB128" s="259">
        <f t="shared" si="906"/>
        <v>108.5235</v>
      </c>
      <c r="CC128" s="253"/>
      <c r="CE128" s="18">
        <f t="shared" ref="CE128:CK132" si="907">CE113/CE$89</f>
        <v>0</v>
      </c>
      <c r="CF128" s="18">
        <f t="shared" si="907"/>
        <v>244.2104460093897</v>
      </c>
      <c r="CG128" s="18">
        <f t="shared" si="907"/>
        <v>320.16192307692307</v>
      </c>
      <c r="CH128" s="18">
        <f t="shared" si="907"/>
        <v>364.68054607508532</v>
      </c>
      <c r="CI128" s="18">
        <f t="shared" si="907"/>
        <v>484.20289855072463</v>
      </c>
      <c r="CJ128" s="18">
        <f t="shared" si="907"/>
        <v>495.16129032258061</v>
      </c>
      <c r="CK128" s="18">
        <f t="shared" si="907"/>
        <v>486.62251655629143</v>
      </c>
      <c r="CL128" s="253"/>
      <c r="CN128" s="18" t="e">
        <f t="shared" ref="CN128:CT132" si="908">CN113/CN$89</f>
        <v>#DIV/0!</v>
      </c>
      <c r="CO128" s="18">
        <f t="shared" si="908"/>
        <v>305.75126162018586</v>
      </c>
      <c r="CP128" s="18">
        <f t="shared" si="908"/>
        <v>208.84180522565319</v>
      </c>
      <c r="CQ128" s="18">
        <f t="shared" si="908"/>
        <v>406.54939965694689</v>
      </c>
      <c r="CR128" s="18">
        <f t="shared" si="908"/>
        <v>448.6982367758186</v>
      </c>
      <c r="CS128" s="18">
        <f t="shared" si="908"/>
        <v>638.46080402010057</v>
      </c>
      <c r="CT128" s="18">
        <f t="shared" si="908"/>
        <v>733.95251798561151</v>
      </c>
      <c r="CU128" s="253"/>
      <c r="CW128" s="18">
        <f t="shared" ref="CW128:DC132" si="909">CW113/CW$89</f>
        <v>337.60093708166005</v>
      </c>
      <c r="CX128" s="18">
        <f t="shared" si="909"/>
        <v>197.80067491563554</v>
      </c>
      <c r="CY128" s="18">
        <f t="shared" si="909"/>
        <v>286.2108552631579</v>
      </c>
      <c r="CZ128" s="18">
        <f t="shared" si="909"/>
        <v>333.06686046511629</v>
      </c>
      <c r="DA128" s="18" t="e">
        <f>DA113/DA$39</f>
        <v>#DIV/0!</v>
      </c>
      <c r="DB128" s="18" t="e">
        <f t="shared" ref="DB128:DC128" si="910">DB113/DB$39</f>
        <v>#DIV/0!</v>
      </c>
      <c r="DC128" s="18" t="e">
        <f t="shared" si="910"/>
        <v>#DIV/0!</v>
      </c>
      <c r="DD128" s="253"/>
      <c r="DF128" s="18">
        <f t="shared" ref="DF128:DI128" si="911">DF113/DF$89</f>
        <v>317.43900426351257</v>
      </c>
      <c r="DG128" s="18">
        <f t="shared" si="911"/>
        <v>256.07563131313128</v>
      </c>
      <c r="DH128" s="18">
        <f t="shared" si="911"/>
        <v>281.25338645418327</v>
      </c>
      <c r="DI128" s="18">
        <f t="shared" si="911"/>
        <v>704.39960474308305</v>
      </c>
      <c r="DJ128" s="18" t="e">
        <f>DJ113/DJ$39</f>
        <v>#DIV/0!</v>
      </c>
      <c r="DK128" s="18" t="e">
        <f t="shared" ref="DK128:DL128" si="912">DK113/DK$39</f>
        <v>#DIV/0!</v>
      </c>
      <c r="DL128" s="18" t="e">
        <f t="shared" si="912"/>
        <v>#DIV/0!</v>
      </c>
      <c r="DM128" s="253"/>
      <c r="DO128" s="18" t="e">
        <f t="shared" ref="DO128:DR128" si="913">DO113/DO$89</f>
        <v>#DIV/0!</v>
      </c>
      <c r="DP128" s="18" t="e">
        <f t="shared" si="913"/>
        <v>#DIV/0!</v>
      </c>
      <c r="DQ128" s="18" t="e">
        <f t="shared" si="913"/>
        <v>#DIV/0!</v>
      </c>
      <c r="DR128" s="18" t="e">
        <f t="shared" si="913"/>
        <v>#DIV/0!</v>
      </c>
      <c r="DS128" s="18" t="e">
        <f>DS113/DS$39</f>
        <v>#DIV/0!</v>
      </c>
      <c r="DT128" s="18" t="e">
        <f t="shared" ref="DT128:DU128" si="914">DT113/DT$39</f>
        <v>#DIV/0!</v>
      </c>
      <c r="DU128" s="18" t="e">
        <f t="shared" si="914"/>
        <v>#DIV/0!</v>
      </c>
      <c r="DV128" s="253"/>
      <c r="DX128" s="18">
        <f t="shared" ref="DX128:ED128" si="915">IF(ISNUMBER(DX$89),IF(DX$89&gt;0,DX113/DX$89,),)</f>
        <v>205.74571428571429</v>
      </c>
      <c r="DY128" s="18">
        <f t="shared" si="915"/>
        <v>353.01</v>
      </c>
      <c r="DZ128" s="18">
        <f t="shared" si="915"/>
        <v>241.20983213429255</v>
      </c>
      <c r="EA128" s="18">
        <f t="shared" si="915"/>
        <v>1208.5305928352529</v>
      </c>
      <c r="EB128" s="18">
        <f t="shared" si="915"/>
        <v>0</v>
      </c>
      <c r="EC128" s="18">
        <f t="shared" si="915"/>
        <v>0</v>
      </c>
      <c r="ED128" s="18">
        <f t="shared" si="915"/>
        <v>0</v>
      </c>
      <c r="EE128" s="253"/>
      <c r="EG128" s="18">
        <f t="shared" ref="EG128:EM128" si="916">IF(ISNUMBER(EG$89),IF(EG$89&gt;0,EG113/EG$89,),)</f>
        <v>0</v>
      </c>
      <c r="EH128" s="18">
        <f t="shared" si="916"/>
        <v>0</v>
      </c>
      <c r="EI128" s="18">
        <f t="shared" si="916"/>
        <v>0</v>
      </c>
      <c r="EJ128" s="18">
        <f t="shared" si="916"/>
        <v>0</v>
      </c>
      <c r="EK128" s="18">
        <f t="shared" si="916"/>
        <v>0</v>
      </c>
      <c r="EL128" s="18">
        <f t="shared" si="916"/>
        <v>0</v>
      </c>
      <c r="EM128" s="18">
        <f t="shared" si="916"/>
        <v>0</v>
      </c>
      <c r="EN128" s="253"/>
      <c r="EP128" s="18">
        <f t="shared" ref="EP128:EV128" si="917">IF(ISNUMBER(EP$89),IF(EP$89&gt;0,EP113/EP$89,),)</f>
        <v>0</v>
      </c>
      <c r="EQ128" s="18">
        <f t="shared" si="917"/>
        <v>0</v>
      </c>
      <c r="ER128" s="18">
        <f t="shared" si="917"/>
        <v>0</v>
      </c>
      <c r="ES128" s="18">
        <f t="shared" si="917"/>
        <v>0</v>
      </c>
      <c r="ET128" s="18">
        <f t="shared" si="917"/>
        <v>0</v>
      </c>
      <c r="EU128" s="18">
        <f t="shared" si="917"/>
        <v>0</v>
      </c>
      <c r="EV128" s="18">
        <f t="shared" si="917"/>
        <v>0</v>
      </c>
      <c r="EW128" s="253"/>
    </row>
    <row r="129" spans="3:153" ht="15.75" customHeight="1" outlineLevel="1" x14ac:dyDescent="0.3">
      <c r="C129" s="605" t="s">
        <v>345</v>
      </c>
      <c r="D129" s="561" t="s">
        <v>48</v>
      </c>
      <c r="E129" s="562"/>
      <c r="F129" s="61"/>
      <c r="G129" s="62" t="s">
        <v>37</v>
      </c>
      <c r="BM129" s="59">
        <f>Dashboard!BS70*0.0036+Dashboard!BS71*0.036</f>
        <v>170.53905599999999</v>
      </c>
      <c r="BN129" s="59">
        <f>Dashboard!BT70*0.0036+Dashboard!BT71*0.036</f>
        <v>356.86389599999995</v>
      </c>
      <c r="BO129" s="59">
        <f>Dashboard!BU70*0.0036+Dashboard!BU71*0.036</f>
        <v>240.21482399999996</v>
      </c>
      <c r="BP129" s="59">
        <f>Dashboard!BV70*0.0036+Dashboard!BV71*0.036</f>
        <v>183.85516799999999</v>
      </c>
      <c r="BQ129" s="59">
        <f>Dashboard!BW70*0.0036+Dashboard!BW71*0.036</f>
        <v>167.72597999999996</v>
      </c>
      <c r="BR129" s="59">
        <f>Dashboard!BX70*0.0036+Dashboard!BX71*0.036</f>
        <v>118.27753199999999</v>
      </c>
      <c r="BS129" s="260"/>
      <c r="BT129" s="254"/>
      <c r="BV129" s="59">
        <f>Dashboard!CB70*0.0036+Dashboard!CB71*0.036</f>
        <v>74.232252000000003</v>
      </c>
      <c r="BW129" s="59">
        <f>Dashboard!CC70*0.0036+Dashboard!CC71*0.036</f>
        <v>0</v>
      </c>
      <c r="BX129" s="59">
        <f>Dashboard!CD70*0.0036+Dashboard!CD71*0.036</f>
        <v>732.11173199999996</v>
      </c>
      <c r="BY129" s="59">
        <f>Dashboard!CE70*0.0036+Dashboard!CE71*0.036</f>
        <v>245.69747999999998</v>
      </c>
      <c r="BZ129" s="59">
        <f>Dashboard!CF70*0.0036+Dashboard!CF71*0.036</f>
        <v>144.18935999999999</v>
      </c>
      <c r="CA129" s="59">
        <f>Dashboard!CG70*0.0036+Dashboard!CG71*0.036</f>
        <v>52.854335999999996</v>
      </c>
      <c r="CB129" s="260"/>
      <c r="CC129" s="254"/>
      <c r="CE129" s="18">
        <f t="shared" si="907"/>
        <v>6.2749180327868848</v>
      </c>
      <c r="CF129" s="18">
        <f t="shared" si="907"/>
        <v>2.6848791549295776</v>
      </c>
      <c r="CG129" s="18">
        <f t="shared" si="907"/>
        <v>4.3704983076923076</v>
      </c>
      <c r="CH129" s="18">
        <f t="shared" si="907"/>
        <v>3.9269359044368604</v>
      </c>
      <c r="CI129" s="18">
        <f t="shared" si="907"/>
        <v>0</v>
      </c>
      <c r="CJ129" s="18">
        <f t="shared" si="907"/>
        <v>0</v>
      </c>
      <c r="CK129" s="18">
        <f t="shared" si="907"/>
        <v>0</v>
      </c>
      <c r="CL129" s="254"/>
      <c r="CN129" s="18" t="e">
        <f t="shared" si="908"/>
        <v>#DIV/0!</v>
      </c>
      <c r="CO129" s="18">
        <f t="shared" si="908"/>
        <v>4.2514532270916323</v>
      </c>
      <c r="CP129" s="18">
        <f t="shared" si="908"/>
        <v>4.3120009026128265</v>
      </c>
      <c r="CQ129" s="18">
        <f t="shared" si="908"/>
        <v>4.9156758833619207</v>
      </c>
      <c r="CR129" s="18">
        <f t="shared" si="908"/>
        <v>4.1136229722921911</v>
      </c>
      <c r="CS129" s="18">
        <f t="shared" si="908"/>
        <v>0.31532201005025129</v>
      </c>
      <c r="CT129" s="18">
        <f t="shared" si="908"/>
        <v>0.96172057553956825</v>
      </c>
      <c r="CU129" s="254"/>
      <c r="CW129" s="18">
        <f t="shared" si="909"/>
        <v>0</v>
      </c>
      <c r="CX129" s="18">
        <f t="shared" si="909"/>
        <v>3.7257217997750276</v>
      </c>
      <c r="CY129" s="18">
        <f t="shared" si="909"/>
        <v>3.3560135526315786</v>
      </c>
      <c r="CZ129" s="18" t="e">
        <f>CZ114/CZ$39</f>
        <v>#DIV/0!</v>
      </c>
      <c r="DA129" s="18" t="e">
        <f t="shared" ref="DA129:DC129" si="918">DA114/DA$39</f>
        <v>#DIV/0!</v>
      </c>
      <c r="DB129" s="18" t="e">
        <f t="shared" si="918"/>
        <v>#DIV/0!</v>
      </c>
      <c r="DC129" s="18" t="e">
        <f t="shared" si="918"/>
        <v>#DIV/0!</v>
      </c>
      <c r="DD129" s="254"/>
      <c r="DF129" s="18">
        <f t="shared" ref="DF129:DH129" si="919">DF114/DF$89</f>
        <v>4.546628689313712</v>
      </c>
      <c r="DG129" s="18">
        <f t="shared" si="919"/>
        <v>3.3672690909090903</v>
      </c>
      <c r="DH129" s="18">
        <f t="shared" si="919"/>
        <v>3.563668685258965</v>
      </c>
      <c r="DI129" s="18" t="e">
        <f>DI114/DI$39</f>
        <v>#DIV/0!</v>
      </c>
      <c r="DJ129" s="18" t="e">
        <f t="shared" ref="DJ129:DL129" si="920">DJ114/DJ$39</f>
        <v>#DIV/0!</v>
      </c>
      <c r="DK129" s="18" t="e">
        <f t="shared" si="920"/>
        <v>#DIV/0!</v>
      </c>
      <c r="DL129" s="18" t="e">
        <f t="shared" si="920"/>
        <v>#DIV/0!</v>
      </c>
      <c r="DM129" s="254"/>
      <c r="DO129" s="18" t="e">
        <f t="shared" ref="DO129:DQ129" si="921">DO114/DO$89</f>
        <v>#DIV/0!</v>
      </c>
      <c r="DP129" s="18" t="e">
        <f t="shared" si="921"/>
        <v>#DIV/0!</v>
      </c>
      <c r="DQ129" s="18" t="e">
        <f t="shared" si="921"/>
        <v>#DIV/0!</v>
      </c>
      <c r="DR129" s="18" t="e">
        <f>DR114/DR$39</f>
        <v>#DIV/0!</v>
      </c>
      <c r="DS129" s="18" t="e">
        <f t="shared" ref="DS129:DU129" si="922">DS114/DS$39</f>
        <v>#DIV/0!</v>
      </c>
      <c r="DT129" s="18" t="e">
        <f t="shared" si="922"/>
        <v>#DIV/0!</v>
      </c>
      <c r="DU129" s="18" t="e">
        <f t="shared" si="922"/>
        <v>#DIV/0!</v>
      </c>
      <c r="DV129" s="254"/>
      <c r="DX129" s="18">
        <f t="shared" ref="DX129:ED129" si="923">IF(ISNUMBER(DX$89),IF(DX$89&gt;0,DX114/DX$89,),)</f>
        <v>0.19078457142857141</v>
      </c>
      <c r="DY129" s="18">
        <f t="shared" si="923"/>
        <v>1.3283335384615382</v>
      </c>
      <c r="DZ129" s="18">
        <f t="shared" si="923"/>
        <v>3.0027466187050353</v>
      </c>
      <c r="EA129" s="18">
        <f t="shared" si="923"/>
        <v>17.93721779562506</v>
      </c>
      <c r="EB129" s="18">
        <f t="shared" si="923"/>
        <v>0</v>
      </c>
      <c r="EC129" s="18">
        <f t="shared" si="923"/>
        <v>0</v>
      </c>
      <c r="ED129" s="18">
        <f t="shared" si="923"/>
        <v>0</v>
      </c>
      <c r="EE129" s="254"/>
      <c r="EG129" s="18">
        <f t="shared" ref="EG129:EM132" si="924">IF(ISNUMBER(EG$89),IF(EG$89&gt;0,EG114/EG$89,),)</f>
        <v>0</v>
      </c>
      <c r="EH129" s="18">
        <f t="shared" si="924"/>
        <v>0</v>
      </c>
      <c r="EI129" s="18">
        <f t="shared" si="924"/>
        <v>0</v>
      </c>
      <c r="EJ129" s="18">
        <f t="shared" si="924"/>
        <v>0</v>
      </c>
      <c r="EK129" s="18">
        <f t="shared" si="924"/>
        <v>0</v>
      </c>
      <c r="EL129" s="18">
        <f t="shared" si="924"/>
        <v>0</v>
      </c>
      <c r="EM129" s="18">
        <f t="shared" si="924"/>
        <v>0</v>
      </c>
      <c r="EN129" s="254"/>
      <c r="EP129" s="18">
        <f t="shared" ref="EP129:EV129" si="925">IF(ISNUMBER(EP$89),IF(EP$89&gt;0,EP114/EP$89,),)</f>
        <v>0</v>
      </c>
      <c r="EQ129" s="18">
        <f t="shared" si="925"/>
        <v>0</v>
      </c>
      <c r="ER129" s="18">
        <f t="shared" si="925"/>
        <v>0</v>
      </c>
      <c r="ES129" s="18">
        <f t="shared" si="925"/>
        <v>0</v>
      </c>
      <c r="ET129" s="18">
        <f t="shared" si="925"/>
        <v>0</v>
      </c>
      <c r="EU129" s="18">
        <f t="shared" si="925"/>
        <v>0</v>
      </c>
      <c r="EV129" s="18">
        <f t="shared" si="925"/>
        <v>0</v>
      </c>
      <c r="EW129" s="254"/>
    </row>
    <row r="130" spans="3:153" ht="15.75" customHeight="1" outlineLevel="1" x14ac:dyDescent="0.3">
      <c r="C130" s="606" t="s">
        <v>346</v>
      </c>
      <c r="D130" s="561" t="s">
        <v>49</v>
      </c>
      <c r="E130" s="562"/>
      <c r="F130" s="61"/>
      <c r="G130" s="64" t="s">
        <v>37</v>
      </c>
      <c r="BM130" s="59">
        <f>Dashboard!BS81</f>
        <v>2442.7199999999998</v>
      </c>
      <c r="BN130" s="59">
        <f>Dashboard!BT81</f>
        <v>2632.64</v>
      </c>
      <c r="BO130" s="59">
        <f>Dashboard!BU81</f>
        <v>2826.08</v>
      </c>
      <c r="BP130" s="59">
        <f>Dashboard!BV81</f>
        <v>2399.52</v>
      </c>
      <c r="BQ130" s="59">
        <f>Dashboard!BW81</f>
        <v>2788.8</v>
      </c>
      <c r="BR130" s="59">
        <f>Dashboard!BX81</f>
        <v>2011.2</v>
      </c>
      <c r="BS130" s="259">
        <f>Dashboard!BY81</f>
        <v>838.72</v>
      </c>
      <c r="BT130" s="253"/>
      <c r="BV130" s="59">
        <f>Dashboard!CB81</f>
        <v>1829.44</v>
      </c>
      <c r="BW130" s="59">
        <f>Dashboard!CC81</f>
        <v>0</v>
      </c>
      <c r="BX130" s="59">
        <f>Dashboard!CD81</f>
        <v>10440</v>
      </c>
      <c r="BY130" s="59">
        <f>Dashboard!CE81</f>
        <v>3980.32</v>
      </c>
      <c r="BZ130" s="59">
        <f>Dashboard!CF81</f>
        <v>3072</v>
      </c>
      <c r="CA130" s="59">
        <f>Dashboard!CG81</f>
        <v>694.4</v>
      </c>
      <c r="CB130" s="259">
        <f>Dashboard!CH81</f>
        <v>267.52</v>
      </c>
      <c r="CC130" s="253"/>
      <c r="CE130" s="18">
        <f t="shared" si="907"/>
        <v>15.301639344262297</v>
      </c>
      <c r="CF130" s="18">
        <f t="shared" si="907"/>
        <v>155.80669014084509</v>
      </c>
      <c r="CG130" s="18">
        <f t="shared" si="907"/>
        <v>94.568333333333328</v>
      </c>
      <c r="CH130" s="18">
        <f t="shared" si="907"/>
        <v>128.08600682593857</v>
      </c>
      <c r="CI130" s="18">
        <f t="shared" si="907"/>
        <v>0</v>
      </c>
      <c r="CJ130" s="18">
        <f t="shared" si="907"/>
        <v>0</v>
      </c>
      <c r="CK130" s="18">
        <f t="shared" si="907"/>
        <v>0</v>
      </c>
      <c r="CL130" s="253"/>
      <c r="CN130" s="18" t="e">
        <f t="shared" si="908"/>
        <v>#DIV/0!</v>
      </c>
      <c r="CO130" s="18">
        <f t="shared" si="908"/>
        <v>129.34767596281537</v>
      </c>
      <c r="CP130" s="18">
        <f t="shared" si="908"/>
        <v>101.12292161520189</v>
      </c>
      <c r="CQ130" s="18">
        <f t="shared" si="908"/>
        <v>204.00566037735851</v>
      </c>
      <c r="CR130" s="18">
        <f t="shared" si="908"/>
        <v>186.57783375314861</v>
      </c>
      <c r="CS130" s="18">
        <f t="shared" si="908"/>
        <v>188.94371859296484</v>
      </c>
      <c r="CT130" s="18">
        <f t="shared" si="908"/>
        <v>125.76330935251798</v>
      </c>
      <c r="CU130" s="253"/>
      <c r="CW130" s="18">
        <f t="shared" si="909"/>
        <v>0</v>
      </c>
      <c r="CX130" s="18">
        <f t="shared" si="909"/>
        <v>248.40326209223844</v>
      </c>
      <c r="CY130" s="18">
        <f t="shared" si="909"/>
        <v>154.03421052631577</v>
      </c>
      <c r="CZ130" s="18">
        <f t="shared" si="909"/>
        <v>181.43691860465117</v>
      </c>
      <c r="DA130" s="18">
        <f t="shared" si="909"/>
        <v>298.87635467980294</v>
      </c>
      <c r="DB130" s="18">
        <f t="shared" si="909"/>
        <v>338.16776859504131</v>
      </c>
      <c r="DC130" s="260">
        <f t="shared" si="909"/>
        <v>490.22222222222229</v>
      </c>
      <c r="DD130" s="253"/>
      <c r="DF130" s="18">
        <f t="shared" ref="DF130:DL130" si="926">DF115/DF$89</f>
        <v>130.24755879521385</v>
      </c>
      <c r="DG130" s="18">
        <f t="shared" si="926"/>
        <v>107.69507575757576</v>
      </c>
      <c r="DH130" s="18">
        <f t="shared" si="926"/>
        <v>120.93293492695884</v>
      </c>
      <c r="DI130" s="18">
        <f t="shared" si="926"/>
        <v>272.76363636363635</v>
      </c>
      <c r="DJ130" s="18" t="e">
        <f t="shared" si="926"/>
        <v>#DIV/0!</v>
      </c>
      <c r="DK130" s="18" t="e">
        <f t="shared" si="926"/>
        <v>#DIV/0!</v>
      </c>
      <c r="DL130" s="260" t="e">
        <f t="shared" si="926"/>
        <v>#DIV/0!</v>
      </c>
      <c r="DM130" s="253"/>
      <c r="DO130" s="18" t="e">
        <f t="shared" ref="DO130:DU130" si="927">DO115/DO$89</f>
        <v>#DIV/0!</v>
      </c>
      <c r="DP130" s="18" t="e">
        <f t="shared" si="927"/>
        <v>#DIV/0!</v>
      </c>
      <c r="DQ130" s="18" t="e">
        <f t="shared" si="927"/>
        <v>#DIV/0!</v>
      </c>
      <c r="DR130" s="18" t="e">
        <f t="shared" si="927"/>
        <v>#DIV/0!</v>
      </c>
      <c r="DS130" s="18">
        <f t="shared" si="927"/>
        <v>231.65707070707072</v>
      </c>
      <c r="DT130" s="18">
        <f t="shared" si="927"/>
        <v>168.32279411764708</v>
      </c>
      <c r="DU130" s="260">
        <f t="shared" si="927"/>
        <v>244.33077316948282</v>
      </c>
      <c r="DV130" s="253"/>
      <c r="DX130" s="18">
        <f t="shared" ref="DX130" si="928">IF(ISNUMBER(DX$89),IF(DX$89&gt;0,DX115/DX$89,),)</f>
        <v>155.3402857142857</v>
      </c>
      <c r="DY130" s="18">
        <f t="shared" ref="DY130:ED130" si="929">IF(ISNUMBER(DY$89),IF(DY$89&gt;0,DY115/DY$89,),)</f>
        <v>227.7619230769231</v>
      </c>
      <c r="DZ130" s="18">
        <f t="shared" si="929"/>
        <v>43.179016786570742</v>
      </c>
      <c r="EA130" s="18">
        <f t="shared" si="929"/>
        <v>357.58691746803333</v>
      </c>
      <c r="EB130" s="18">
        <f t="shared" si="929"/>
        <v>0</v>
      </c>
      <c r="EC130" s="18">
        <f t="shared" si="929"/>
        <v>0</v>
      </c>
      <c r="ED130" s="18">
        <f t="shared" si="929"/>
        <v>0</v>
      </c>
      <c r="EE130" s="253"/>
      <c r="EG130" s="18">
        <f t="shared" si="924"/>
        <v>0</v>
      </c>
      <c r="EH130" s="18">
        <f t="shared" si="924"/>
        <v>0</v>
      </c>
      <c r="EI130" s="18">
        <f t="shared" si="924"/>
        <v>0</v>
      </c>
      <c r="EJ130" s="18">
        <f t="shared" si="924"/>
        <v>0</v>
      </c>
      <c r="EK130" s="18">
        <f t="shared" si="924"/>
        <v>0</v>
      </c>
      <c r="EL130" s="18">
        <f t="shared" si="924"/>
        <v>0</v>
      </c>
      <c r="EM130" s="18">
        <f t="shared" si="924"/>
        <v>0</v>
      </c>
      <c r="EN130" s="253"/>
      <c r="EP130" s="18">
        <f t="shared" ref="EP130:EV130" si="930">IF(ISNUMBER(EP$89),IF(EP$89&gt;0,EP115/EP$89,),)</f>
        <v>0</v>
      </c>
      <c r="EQ130" s="18">
        <f t="shared" si="930"/>
        <v>0</v>
      </c>
      <c r="ER130" s="18">
        <f t="shared" si="930"/>
        <v>0</v>
      </c>
      <c r="ES130" s="18">
        <f t="shared" si="930"/>
        <v>0</v>
      </c>
      <c r="ET130" s="18">
        <f t="shared" si="930"/>
        <v>0</v>
      </c>
      <c r="EU130" s="18">
        <f t="shared" si="930"/>
        <v>0</v>
      </c>
      <c r="EV130" s="18">
        <f t="shared" si="930"/>
        <v>0</v>
      </c>
      <c r="EW130" s="253"/>
    </row>
    <row r="131" spans="3:153" ht="16.5" customHeight="1" outlineLevel="1" x14ac:dyDescent="0.3">
      <c r="C131" s="607" t="s">
        <v>347</v>
      </c>
      <c r="D131" s="561" t="s">
        <v>50</v>
      </c>
      <c r="E131" s="562"/>
      <c r="F131" s="61"/>
      <c r="G131" s="62" t="s">
        <v>37</v>
      </c>
      <c r="BM131" s="59">
        <f>Dashboard!BS87+Dashboard!BS88</f>
        <v>0.18</v>
      </c>
      <c r="BN131" s="59">
        <f>Dashboard!BT87+Dashboard!BT88</f>
        <v>0.01</v>
      </c>
      <c r="BO131" s="59">
        <f>Dashboard!BU87+Dashboard!BU88</f>
        <v>0</v>
      </c>
      <c r="BP131" s="59">
        <f>Dashboard!BV87+Dashboard!BV88</f>
        <v>0.02</v>
      </c>
      <c r="BQ131" s="59">
        <f>Dashboard!BW87+Dashboard!BW88</f>
        <v>0</v>
      </c>
      <c r="BR131" s="59">
        <f>Dashboard!BX87+Dashboard!BX88</f>
        <v>0.02</v>
      </c>
      <c r="BS131" s="259">
        <f>Dashboard!BY87+Dashboard!BY88</f>
        <v>0</v>
      </c>
      <c r="BT131" s="253"/>
      <c r="BV131" s="59">
        <f>Dashboard!CB87+Dashboard!CB88</f>
        <v>0</v>
      </c>
      <c r="BW131" s="59">
        <f>Dashboard!CC87+Dashboard!CC88</f>
        <v>0</v>
      </c>
      <c r="BX131" s="59">
        <f>Dashboard!CD87+Dashboard!CD88</f>
        <v>0</v>
      </c>
      <c r="BY131" s="59">
        <f>Dashboard!CE87+Dashboard!CE88</f>
        <v>7.0000000000000007E-2</v>
      </c>
      <c r="BZ131" s="59">
        <f>Dashboard!CF87+Dashboard!CF88</f>
        <v>0.22</v>
      </c>
      <c r="CA131" s="59">
        <f>Dashboard!CG87+Dashboard!CG88</f>
        <v>0.12</v>
      </c>
      <c r="CB131" s="259">
        <f>Dashboard!CH87+Dashboard!CH88</f>
        <v>0.14000000000000001</v>
      </c>
      <c r="CC131" s="253"/>
      <c r="CE131" s="18">
        <f t="shared" si="907"/>
        <v>0</v>
      </c>
      <c r="CF131" s="18">
        <f t="shared" si="907"/>
        <v>43.571009389671367</v>
      </c>
      <c r="CG131" s="18">
        <f t="shared" si="907"/>
        <v>50.077435897435898</v>
      </c>
      <c r="CH131" s="18">
        <f t="shared" si="907"/>
        <v>60.831911262798641</v>
      </c>
      <c r="CI131" s="18">
        <f t="shared" si="907"/>
        <v>0</v>
      </c>
      <c r="CJ131" s="18">
        <f t="shared" si="907"/>
        <v>0</v>
      </c>
      <c r="CK131" s="18">
        <f t="shared" si="907"/>
        <v>0</v>
      </c>
      <c r="CL131" s="253"/>
      <c r="CN131" s="18" t="e">
        <f t="shared" si="908"/>
        <v>#DIV/0!</v>
      </c>
      <c r="CO131" s="18">
        <f t="shared" si="908"/>
        <v>48.079150066401056</v>
      </c>
      <c r="CP131" s="18">
        <f t="shared" si="908"/>
        <v>33.608788598574819</v>
      </c>
      <c r="CQ131" s="18">
        <f t="shared" si="908"/>
        <v>62.482675814751296</v>
      </c>
      <c r="CR131" s="18">
        <f t="shared" si="908"/>
        <v>68.452896725440795</v>
      </c>
      <c r="CS131" s="18">
        <f t="shared" si="908"/>
        <v>76.165326633165833</v>
      </c>
      <c r="CT131" s="18">
        <f t="shared" si="908"/>
        <v>45.869064748201438</v>
      </c>
      <c r="CU131" s="253"/>
      <c r="CW131" s="18">
        <f t="shared" si="909"/>
        <v>0</v>
      </c>
      <c r="CX131" s="18">
        <f t="shared" si="909"/>
        <v>40.723959505061863</v>
      </c>
      <c r="CY131" s="18">
        <f t="shared" si="909"/>
        <v>43.389473684210522</v>
      </c>
      <c r="CZ131" s="18">
        <f t="shared" si="909"/>
        <v>51.320494186046503</v>
      </c>
      <c r="DA131" s="18">
        <f t="shared" si="909"/>
        <v>72.414285714285711</v>
      </c>
      <c r="DB131" s="18">
        <f t="shared" si="909"/>
        <v>77.278925619834723</v>
      </c>
      <c r="DC131" s="260">
        <f t="shared" si="909"/>
        <v>112.63333333333333</v>
      </c>
      <c r="DD131" s="253"/>
      <c r="DF131" s="18">
        <f t="shared" ref="DF131:DL131" si="931">DF116/DF$89</f>
        <v>54.226928895612701</v>
      </c>
      <c r="DG131" s="18">
        <f t="shared" si="931"/>
        <v>41.302651515151517</v>
      </c>
      <c r="DH131" s="18">
        <f t="shared" si="931"/>
        <v>42.809694555112877</v>
      </c>
      <c r="DI131" s="18">
        <f t="shared" si="931"/>
        <v>114.02173913043478</v>
      </c>
      <c r="DJ131" s="18" t="e">
        <f t="shared" si="931"/>
        <v>#DIV/0!</v>
      </c>
      <c r="DK131" s="18" t="e">
        <f t="shared" si="931"/>
        <v>#DIV/0!</v>
      </c>
      <c r="DL131" s="260" t="e">
        <f t="shared" si="931"/>
        <v>#DIV/0!</v>
      </c>
      <c r="DM131" s="253"/>
      <c r="DO131" s="18" t="e">
        <f t="shared" ref="DO131:DU132" si="932">DO116/DO$89</f>
        <v>#DIV/0!</v>
      </c>
      <c r="DP131" s="18" t="e">
        <f t="shared" si="932"/>
        <v>#DIV/0!</v>
      </c>
      <c r="DQ131" s="18" t="e">
        <f t="shared" si="932"/>
        <v>#DIV/0!</v>
      </c>
      <c r="DR131" s="18" t="e">
        <f t="shared" si="932"/>
        <v>#DIV/0!</v>
      </c>
      <c r="DS131" s="18">
        <f t="shared" si="932"/>
        <v>91.880303030303025</v>
      </c>
      <c r="DT131" s="18">
        <f t="shared" si="932"/>
        <v>67.211764705882345</v>
      </c>
      <c r="DU131" s="260">
        <f t="shared" si="932"/>
        <v>101.17409114183306</v>
      </c>
      <c r="DV131" s="253"/>
      <c r="DX131" s="18">
        <f t="shared" ref="DX131" si="933">IF(ISNUMBER(DX$89),IF(DX$89&gt;0,DX116/DX$89,),)</f>
        <v>55.034571428571432</v>
      </c>
      <c r="DY131" s="18">
        <f t="shared" ref="DY131:ED131" si="934">IF(ISNUMBER(DY$89),IF(DY$89&gt;0,DY116/DY$89,),)</f>
        <v>80.218846153846158</v>
      </c>
      <c r="DZ131" s="18">
        <f t="shared" si="934"/>
        <v>5.1075539568345327</v>
      </c>
      <c r="EA131" s="18">
        <f t="shared" si="934"/>
        <v>84.294092782415717</v>
      </c>
      <c r="EB131" s="18">
        <f t="shared" si="934"/>
        <v>0</v>
      </c>
      <c r="EC131" s="18">
        <f t="shared" si="934"/>
        <v>0</v>
      </c>
      <c r="ED131" s="18">
        <f t="shared" si="934"/>
        <v>0</v>
      </c>
      <c r="EE131" s="253"/>
      <c r="EG131" s="18">
        <f t="shared" si="924"/>
        <v>0</v>
      </c>
      <c r="EH131" s="18">
        <f t="shared" si="924"/>
        <v>0</v>
      </c>
      <c r="EI131" s="18">
        <f t="shared" si="924"/>
        <v>0</v>
      </c>
      <c r="EJ131" s="18">
        <f t="shared" si="924"/>
        <v>0</v>
      </c>
      <c r="EK131" s="18">
        <f t="shared" si="924"/>
        <v>0</v>
      </c>
      <c r="EL131" s="18">
        <f t="shared" si="924"/>
        <v>0</v>
      </c>
      <c r="EM131" s="18">
        <f t="shared" si="924"/>
        <v>0</v>
      </c>
      <c r="EN131" s="253"/>
      <c r="EP131" s="18">
        <f t="shared" ref="EP131:EV131" si="935">IF(ISNUMBER(EP$89),IF(EP$89&gt;0,EP116/EP$89,),)</f>
        <v>0</v>
      </c>
      <c r="EQ131" s="18">
        <f t="shared" si="935"/>
        <v>0</v>
      </c>
      <c r="ER131" s="18">
        <f t="shared" si="935"/>
        <v>0</v>
      </c>
      <c r="ES131" s="18">
        <f t="shared" si="935"/>
        <v>0</v>
      </c>
      <c r="ET131" s="18">
        <f t="shared" si="935"/>
        <v>0</v>
      </c>
      <c r="EU131" s="18">
        <f t="shared" si="935"/>
        <v>0</v>
      </c>
      <c r="EV131" s="18">
        <f t="shared" si="935"/>
        <v>0</v>
      </c>
      <c r="EW131" s="253"/>
    </row>
    <row r="132" spans="3:153" ht="16.5" customHeight="1" outlineLevel="1" thickBot="1" x14ac:dyDescent="0.35">
      <c r="C132" s="613" t="s">
        <v>348</v>
      </c>
      <c r="D132" s="559" t="s">
        <v>51</v>
      </c>
      <c r="E132" s="560"/>
      <c r="F132" s="72"/>
      <c r="G132" s="73" t="s">
        <v>37</v>
      </c>
      <c r="BM132" s="76">
        <f>Dashboard!BS89</f>
        <v>0</v>
      </c>
      <c r="BN132" s="76">
        <f>Dashboard!BT89</f>
        <v>0</v>
      </c>
      <c r="BO132" s="76">
        <f>Dashboard!BU89</f>
        <v>0</v>
      </c>
      <c r="BP132" s="76">
        <f>Dashboard!BV89</f>
        <v>0</v>
      </c>
      <c r="BQ132" s="76">
        <f>Dashboard!BW89</f>
        <v>0</v>
      </c>
      <c r="BR132" s="76">
        <f>Dashboard!BX89</f>
        <v>0</v>
      </c>
      <c r="BS132" s="261">
        <f>Dashboard!BY89</f>
        <v>0</v>
      </c>
      <c r="BT132" s="253"/>
      <c r="BV132" s="76">
        <f>Dashboard!CB89</f>
        <v>0</v>
      </c>
      <c r="BW132" s="76">
        <f>Dashboard!CC89</f>
        <v>0</v>
      </c>
      <c r="BX132" s="76">
        <f>Dashboard!CD89</f>
        <v>0</v>
      </c>
      <c r="BY132" s="76">
        <f>Dashboard!CE89</f>
        <v>0</v>
      </c>
      <c r="BZ132" s="76">
        <f>Dashboard!CF89</f>
        <v>0</v>
      </c>
      <c r="CA132" s="76">
        <f>Dashboard!CG89</f>
        <v>0</v>
      </c>
      <c r="CB132" s="261">
        <f>Dashboard!CH89</f>
        <v>0</v>
      </c>
      <c r="CC132" s="253"/>
      <c r="CE132" s="18">
        <f t="shared" si="907"/>
        <v>92.423770491803282</v>
      </c>
      <c r="CF132" s="18">
        <f t="shared" si="907"/>
        <v>112.85551643192491</v>
      </c>
      <c r="CG132" s="18">
        <f t="shared" si="907"/>
        <v>160.66615384615383</v>
      </c>
      <c r="CH132" s="18">
        <f t="shared" si="907"/>
        <v>176.92098976109216</v>
      </c>
      <c r="CI132" s="18">
        <f t="shared" si="907"/>
        <v>0</v>
      </c>
      <c r="CJ132" s="18">
        <f t="shared" si="907"/>
        <v>0</v>
      </c>
      <c r="CK132" s="18">
        <f t="shared" si="907"/>
        <v>0</v>
      </c>
      <c r="CL132" s="253"/>
      <c r="CN132" s="18" t="e">
        <f t="shared" si="908"/>
        <v>#DIV/0!</v>
      </c>
      <c r="CO132" s="18">
        <f t="shared" si="908"/>
        <v>149.17304116865867</v>
      </c>
      <c r="CP132" s="18">
        <f t="shared" si="908"/>
        <v>96.069833729216143</v>
      </c>
      <c r="CQ132" s="18">
        <f t="shared" si="908"/>
        <v>173.3668953687822</v>
      </c>
      <c r="CR132" s="18">
        <f t="shared" si="908"/>
        <v>227.34634760705291</v>
      </c>
      <c r="CS132" s="18">
        <f t="shared" si="908"/>
        <v>219.92613065326634</v>
      </c>
      <c r="CT132" s="18">
        <f t="shared" si="908"/>
        <v>116.64244604316546</v>
      </c>
      <c r="CU132" s="253"/>
      <c r="CW132" s="23">
        <f t="shared" si="909"/>
        <v>0</v>
      </c>
      <c r="CX132" s="23">
        <f>CX117/CX$89</f>
        <v>126.35241844769402</v>
      </c>
      <c r="CY132" s="23">
        <f t="shared" si="909"/>
        <v>126.12324561403507</v>
      </c>
      <c r="CZ132" s="23">
        <f t="shared" si="909"/>
        <v>154.04927325581397</v>
      </c>
      <c r="DA132" s="23">
        <f t="shared" si="909"/>
        <v>177.59532019704432</v>
      </c>
      <c r="DB132" s="23">
        <f t="shared" si="909"/>
        <v>173.24256198347109</v>
      </c>
      <c r="DC132" s="577">
        <f t="shared" si="909"/>
        <v>221.00740740740741</v>
      </c>
      <c r="DD132" s="253"/>
      <c r="DF132" s="23">
        <f t="shared" ref="DF132" si="936">DF117/DF$89</f>
        <v>138.82739650667031</v>
      </c>
      <c r="DG132" s="23">
        <f>DG117/DG$89</f>
        <v>134.68535353535353</v>
      </c>
      <c r="DH132" s="23">
        <f t="shared" ref="DH132:DL132" si="937">DH117/DH$89</f>
        <v>148.35099601593626</v>
      </c>
      <c r="DI132" s="23">
        <f t="shared" si="937"/>
        <v>248.75573122529644</v>
      </c>
      <c r="DJ132" s="23" t="e">
        <f t="shared" si="937"/>
        <v>#DIV/0!</v>
      </c>
      <c r="DK132" s="23" t="e">
        <f t="shared" si="937"/>
        <v>#DIV/0!</v>
      </c>
      <c r="DL132" s="577" t="e">
        <f t="shared" si="937"/>
        <v>#DIV/0!</v>
      </c>
      <c r="DM132" s="253"/>
      <c r="DO132" s="23" t="e">
        <f t="shared" si="932"/>
        <v>#DIV/0!</v>
      </c>
      <c r="DP132" s="23" t="e">
        <f>DP117/DP$89</f>
        <v>#DIV/0!</v>
      </c>
      <c r="DQ132" s="23" t="e">
        <f t="shared" ref="DQ132:DU132" si="938">DQ117/DQ$89</f>
        <v>#DIV/0!</v>
      </c>
      <c r="DR132" s="23" t="e">
        <f t="shared" si="938"/>
        <v>#DIV/0!</v>
      </c>
      <c r="DS132" s="23">
        <f t="shared" si="938"/>
        <v>0.47676767676767673</v>
      </c>
      <c r="DT132" s="23">
        <f t="shared" si="938"/>
        <v>85.686764705882368</v>
      </c>
      <c r="DU132" s="577">
        <f t="shared" si="938"/>
        <v>66.1131592421915</v>
      </c>
      <c r="DV132" s="253"/>
      <c r="DX132" s="18">
        <f t="shared" ref="DX132" si="939">IF(ISNUMBER(DX$89),IF(DX$89&gt;0,DX117/DX$89,),)</f>
        <v>190.47914285714288</v>
      </c>
      <c r="DY132" s="18">
        <f t="shared" ref="DY132:ED132" si="940">IF(ISNUMBER(DY$89),IF(DY$89&gt;0,DY117/DY$89,),)</f>
        <v>240.25769230769231</v>
      </c>
      <c r="DZ132" s="18">
        <f t="shared" si="940"/>
        <v>5.9386091127098322</v>
      </c>
      <c r="EA132" s="18">
        <f t="shared" si="940"/>
        <v>296.16242206488425</v>
      </c>
      <c r="EB132" s="18">
        <f t="shared" si="940"/>
        <v>0</v>
      </c>
      <c r="EC132" s="18">
        <f t="shared" si="940"/>
        <v>0</v>
      </c>
      <c r="ED132" s="18">
        <f t="shared" si="940"/>
        <v>0</v>
      </c>
      <c r="EE132" s="253"/>
      <c r="EG132" s="18">
        <f t="shared" si="924"/>
        <v>0</v>
      </c>
      <c r="EH132" s="18">
        <f t="shared" si="924"/>
        <v>0</v>
      </c>
      <c r="EI132" s="18">
        <f t="shared" si="924"/>
        <v>0</v>
      </c>
      <c r="EJ132" s="18">
        <f t="shared" si="924"/>
        <v>0</v>
      </c>
      <c r="EK132" s="18">
        <f t="shared" si="924"/>
        <v>0</v>
      </c>
      <c r="EL132" s="18">
        <f t="shared" si="924"/>
        <v>0</v>
      </c>
      <c r="EM132" s="18">
        <f t="shared" si="924"/>
        <v>0</v>
      </c>
      <c r="EN132" s="253"/>
      <c r="EP132" s="18">
        <f t="shared" ref="EP132:EV132" si="941">IF(ISNUMBER(EP$89),IF(EP$89&gt;0,EP117/EP$89,),)</f>
        <v>0</v>
      </c>
      <c r="EQ132" s="18">
        <f t="shared" si="941"/>
        <v>0</v>
      </c>
      <c r="ER132" s="18">
        <f t="shared" si="941"/>
        <v>0</v>
      </c>
      <c r="ES132" s="18">
        <f t="shared" si="941"/>
        <v>0</v>
      </c>
      <c r="ET132" s="18">
        <f t="shared" si="941"/>
        <v>0</v>
      </c>
      <c r="EU132" s="18">
        <f t="shared" si="941"/>
        <v>0</v>
      </c>
      <c r="EV132" s="18">
        <f t="shared" si="941"/>
        <v>0</v>
      </c>
      <c r="EW132" s="253"/>
    </row>
  </sheetData>
  <mergeCells count="112">
    <mergeCell ref="B71:B73"/>
    <mergeCell ref="B75:B80"/>
    <mergeCell ref="C58:D58"/>
    <mergeCell ref="C51:E51"/>
    <mergeCell ref="F51:G51"/>
    <mergeCell ref="C32:E32"/>
    <mergeCell ref="C17:E17"/>
    <mergeCell ref="C19:E19"/>
    <mergeCell ref="F21:G21"/>
    <mergeCell ref="B65:B69"/>
    <mergeCell ref="C54:E54"/>
    <mergeCell ref="C53:E53"/>
    <mergeCell ref="C61:D61"/>
    <mergeCell ref="F54:G54"/>
    <mergeCell ref="F36:G36"/>
    <mergeCell ref="F37:G37"/>
    <mergeCell ref="F42:G42"/>
    <mergeCell ref="F43:G43"/>
    <mergeCell ref="C42:D42"/>
    <mergeCell ref="C30:E30"/>
    <mergeCell ref="F17:G17"/>
    <mergeCell ref="F18:G18"/>
    <mergeCell ref="F34:G34"/>
    <mergeCell ref="F33:G33"/>
    <mergeCell ref="C36:E36"/>
    <mergeCell ref="CE1:CK1"/>
    <mergeCell ref="BE1:BK1"/>
    <mergeCell ref="F6:G6"/>
    <mergeCell ref="C9:D9"/>
    <mergeCell ref="C6:D6"/>
    <mergeCell ref="C16:E16"/>
    <mergeCell ref="F9:G9"/>
    <mergeCell ref="C10:E10"/>
    <mergeCell ref="AW1:BC1"/>
    <mergeCell ref="AO1:AU1"/>
    <mergeCell ref="F3:G3"/>
    <mergeCell ref="CC1:CC2"/>
    <mergeCell ref="C33:E33"/>
    <mergeCell ref="C12:E12"/>
    <mergeCell ref="C13:E13"/>
    <mergeCell ref="C101:D101"/>
    <mergeCell ref="C100:D100"/>
    <mergeCell ref="C98:D98"/>
    <mergeCell ref="C99:D99"/>
    <mergeCell ref="C39:D39"/>
    <mergeCell ref="C43:D43"/>
    <mergeCell ref="C56:E56"/>
    <mergeCell ref="C89:G89"/>
    <mergeCell ref="C63:E63"/>
    <mergeCell ref="F86:G86"/>
    <mergeCell ref="F63:G63"/>
    <mergeCell ref="F58:G58"/>
    <mergeCell ref="F59:G59"/>
    <mergeCell ref="F60:G60"/>
    <mergeCell ref="F84:G84"/>
    <mergeCell ref="F85:G85"/>
    <mergeCell ref="F61:G61"/>
    <mergeCell ref="C62:E62"/>
    <mergeCell ref="F62:G62"/>
    <mergeCell ref="C50:E50"/>
    <mergeCell ref="C52:E52"/>
    <mergeCell ref="F56:G56"/>
    <mergeCell ref="C88:G88"/>
    <mergeCell ref="F82:G82"/>
    <mergeCell ref="B82:B89"/>
    <mergeCell ref="F19:G19"/>
    <mergeCell ref="C18:E18"/>
    <mergeCell ref="F52:G52"/>
    <mergeCell ref="C23:D23"/>
    <mergeCell ref="C21:D21"/>
    <mergeCell ref="F23:G23"/>
    <mergeCell ref="F24:G24"/>
    <mergeCell ref="C34:E34"/>
    <mergeCell ref="F53:G53"/>
    <mergeCell ref="C35:E35"/>
    <mergeCell ref="C24:D24"/>
    <mergeCell ref="C31:E31"/>
    <mergeCell ref="F35:G35"/>
    <mergeCell ref="F39:G39"/>
    <mergeCell ref="C37:E37"/>
    <mergeCell ref="B58:B63"/>
    <mergeCell ref="B3:B19"/>
    <mergeCell ref="B21:B37"/>
    <mergeCell ref="B39:B56"/>
    <mergeCell ref="F27:G27"/>
    <mergeCell ref="C87:G87"/>
    <mergeCell ref="F15:G15"/>
    <mergeCell ref="F16:G16"/>
    <mergeCell ref="EP1:EV1"/>
    <mergeCell ref="EW1:EW2"/>
    <mergeCell ref="EG1:EM1"/>
    <mergeCell ref="EN1:EN2"/>
    <mergeCell ref="CL1:CL2"/>
    <mergeCell ref="BV1:CB1"/>
    <mergeCell ref="C14:E14"/>
    <mergeCell ref="C15:E15"/>
    <mergeCell ref="EE1:EE2"/>
    <mergeCell ref="DO1:DU1"/>
    <mergeCell ref="DV1:DV2"/>
    <mergeCell ref="CN1:CT1"/>
    <mergeCell ref="CU1:CU2"/>
    <mergeCell ref="DF1:DL1"/>
    <mergeCell ref="DX1:ED1"/>
    <mergeCell ref="BT1:BT2"/>
    <mergeCell ref="F5:G5"/>
    <mergeCell ref="C1:G2"/>
    <mergeCell ref="BM1:BS1"/>
    <mergeCell ref="C3:D3"/>
    <mergeCell ref="C5:D5"/>
    <mergeCell ref="DM1:DM2"/>
    <mergeCell ref="CW1:DC1"/>
    <mergeCell ref="DD1:DD2"/>
  </mergeCells>
  <conditionalFormatting sqref="G104:G117">
    <cfRule type="cellIs" dxfId="154" priority="24" operator="lessThan">
      <formula>$H$2</formula>
    </cfRule>
  </conditionalFormatting>
  <conditionalFormatting sqref="G104:G117">
    <cfRule type="cellIs" dxfId="153" priority="25" operator="equal">
      <formula>"OK"</formula>
    </cfRule>
    <cfRule type="cellIs" dxfId="152" priority="26" operator="greaterThan">
      <formula>$H$2</formula>
    </cfRule>
  </conditionalFormatting>
  <conditionalFormatting sqref="G119:G132">
    <cfRule type="cellIs" dxfId="151" priority="21" operator="lessThan">
      <formula>$H$2</formula>
    </cfRule>
  </conditionalFormatting>
  <conditionalFormatting sqref="G119:G132">
    <cfRule type="cellIs" dxfId="150" priority="22" operator="equal">
      <formula>"OK"</formula>
    </cfRule>
    <cfRule type="cellIs" dxfId="149" priority="23" operator="greaterThan">
      <formula>$H$2</formula>
    </cfRule>
  </conditionalFormatting>
  <conditionalFormatting sqref="G65:G69 G71:G73">
    <cfRule type="cellIs" dxfId="148" priority="19" operator="equal">
      <formula>"OK"</formula>
    </cfRule>
    <cfRule type="cellIs" dxfId="147" priority="20" operator="greaterThan">
      <formula>$G$1</formula>
    </cfRule>
  </conditionalFormatting>
  <conditionalFormatting sqref="G65:G69 G71:G73">
    <cfRule type="cellIs" dxfId="146" priority="18" operator="lessThan">
      <formula>$G$1</formula>
    </cfRule>
  </conditionalFormatting>
  <conditionalFormatting sqref="E69:F69">
    <cfRule type="cellIs" dxfId="145" priority="17" operator="greaterThan">
      <formula>$F$60</formula>
    </cfRule>
  </conditionalFormatting>
  <conditionalFormatting sqref="E67:F67">
    <cfRule type="cellIs" dxfId="144" priority="16" operator="greaterThan">
      <formula>$F$58</formula>
    </cfRule>
  </conditionalFormatting>
  <conditionalFormatting sqref="G75:G80">
    <cfRule type="cellIs" dxfId="143" priority="6" operator="equal">
      <formula>"OK"</formula>
    </cfRule>
    <cfRule type="cellIs" dxfId="142" priority="7" operator="greaterThan">
      <formula>$G$1</formula>
    </cfRule>
  </conditionalFormatting>
  <conditionalFormatting sqref="G75:G80">
    <cfRule type="cellIs" dxfId="141" priority="5" operator="lessThan">
      <formula>$G$1</formula>
    </cfRule>
  </conditionalFormatting>
  <hyperlinks>
    <hyperlink ref="E5" r:id="rId1"/>
    <hyperlink ref="E4" r:id="rId2"/>
    <hyperlink ref="E41" r:id="rId3"/>
    <hyperlink ref="E42" r:id="rId4"/>
    <hyperlink ref="E43" r:id="rId5"/>
    <hyperlink ref="E58" r:id="rId6"/>
    <hyperlink ref="E59" r:id="rId7"/>
    <hyperlink ref="E82" r:id="rId8"/>
    <hyperlink ref="D82" r:id="rId9"/>
    <hyperlink ref="E44" r:id="rId10"/>
    <hyperlink ref="E7" r:id="rId11"/>
    <hyperlink ref="E8" r:id="rId12"/>
    <hyperlink ref="E85" r:id="rId13"/>
    <hyperlink ref="E68" r:id="rId14"/>
    <hyperlink ref="E67" r:id="rId15"/>
    <hyperlink ref="E65" r:id="rId16"/>
    <hyperlink ref="E72" r:id="rId17"/>
    <hyperlink ref="E73" r:id="rId18"/>
    <hyperlink ref="E77" r:id="rId19"/>
    <hyperlink ref="E75" r:id="rId20"/>
    <hyperlink ref="E76" r:id="rId21"/>
    <hyperlink ref="E78" r:id="rId22"/>
    <hyperlink ref="E79" r:id="rId23"/>
    <hyperlink ref="E80" r:id="rId24"/>
    <hyperlink ref="E45" r:id="rId25"/>
    <hyperlink ref="E46" r:id="rId26"/>
    <hyperlink ref="E22" r:id="rId27"/>
    <hyperlink ref="E23" r:id="rId28"/>
    <hyperlink ref="E24" r:id="rId29"/>
    <hyperlink ref="E25" r:id="rId30"/>
    <hyperlink ref="E26" r:id="rId31"/>
  </hyperlinks>
  <pageMargins left="0.7" right="0.7" top="0.75" bottom="0.75" header="0.3" footer="0.3"/>
  <pageSetup orientation="portrait" r:id="rId32"/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AE62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20" sqref="U20"/>
    </sheetView>
  </sheetViews>
  <sheetFormatPr baseColWidth="10" defaultColWidth="9.109375" defaultRowHeight="13.8" x14ac:dyDescent="0.3"/>
  <cols>
    <col min="1" max="1" width="9.109375" style="312"/>
    <col min="2" max="3" width="15.109375" style="291" customWidth="1"/>
    <col min="4" max="7" width="14.33203125" style="291" customWidth="1"/>
    <col min="8" max="15" width="15.109375" style="291" customWidth="1"/>
    <col min="16" max="16" width="15" style="312" customWidth="1"/>
    <col min="17" max="19" width="12.6640625" style="312" customWidth="1"/>
    <col min="20" max="20" width="13.88671875" style="312" bestFit="1" customWidth="1"/>
    <col min="21" max="25" width="12.6640625" style="312" customWidth="1"/>
    <col min="26" max="26" width="14.5546875" style="312" bestFit="1" customWidth="1"/>
    <col min="27" max="30" width="12.6640625" style="312" customWidth="1"/>
    <col min="31" max="31" width="12.88671875" style="312" customWidth="1"/>
    <col min="32" max="35" width="9.109375" style="312"/>
    <col min="36" max="36" width="10" style="312" bestFit="1" customWidth="1"/>
    <col min="37" max="16384" width="9.109375" style="312"/>
  </cols>
  <sheetData>
    <row r="1" spans="1:31" ht="14.4" thickBot="1" x14ac:dyDescent="0.35">
      <c r="A1" s="311"/>
      <c r="B1" s="842" t="s">
        <v>35</v>
      </c>
      <c r="C1" s="842"/>
      <c r="D1" s="842"/>
      <c r="E1" s="843" t="s">
        <v>40</v>
      </c>
      <c r="F1" s="843"/>
      <c r="G1" s="844" t="s">
        <v>18</v>
      </c>
      <c r="H1" s="844"/>
      <c r="I1" s="844"/>
      <c r="J1" s="844"/>
      <c r="K1" s="842" t="s">
        <v>47</v>
      </c>
      <c r="L1" s="842"/>
      <c r="M1" s="842"/>
      <c r="N1" s="845"/>
      <c r="O1" s="846" t="s">
        <v>235</v>
      </c>
    </row>
    <row r="2" spans="1:31" ht="52.5" customHeight="1" thickBot="1" x14ac:dyDescent="0.35">
      <c r="A2" s="313" t="s">
        <v>213</v>
      </c>
      <c r="B2" s="305" t="s">
        <v>217</v>
      </c>
      <c r="C2" s="305" t="s">
        <v>218</v>
      </c>
      <c r="D2" s="305" t="s">
        <v>219</v>
      </c>
      <c r="E2" s="306" t="s">
        <v>220</v>
      </c>
      <c r="F2" s="306" t="s">
        <v>221</v>
      </c>
      <c r="G2" s="307" t="s">
        <v>222</v>
      </c>
      <c r="H2" s="307" t="s">
        <v>223</v>
      </c>
      <c r="I2" s="307" t="s">
        <v>224</v>
      </c>
      <c r="J2" s="307" t="s">
        <v>214</v>
      </c>
      <c r="K2" s="305" t="s">
        <v>215</v>
      </c>
      <c r="L2" s="305" t="s">
        <v>216</v>
      </c>
      <c r="M2" s="305" t="s">
        <v>225</v>
      </c>
      <c r="N2" s="349" t="s">
        <v>226</v>
      </c>
      <c r="O2" s="847"/>
      <c r="R2" s="333" t="s">
        <v>217</v>
      </c>
      <c r="S2" s="334" t="s">
        <v>218</v>
      </c>
      <c r="T2" s="336" t="s">
        <v>219</v>
      </c>
      <c r="U2" s="626" t="s">
        <v>220</v>
      </c>
      <c r="V2" s="627" t="s">
        <v>221</v>
      </c>
      <c r="W2" s="625" t="s">
        <v>222</v>
      </c>
      <c r="X2" s="335" t="s">
        <v>223</v>
      </c>
      <c r="Y2" s="335" t="s">
        <v>224</v>
      </c>
      <c r="Z2" s="622" t="s">
        <v>214</v>
      </c>
      <c r="AA2" s="333" t="s">
        <v>215</v>
      </c>
      <c r="AB2" s="334" t="s">
        <v>216</v>
      </c>
      <c r="AC2" s="334" t="s">
        <v>225</v>
      </c>
      <c r="AD2" s="334" t="s">
        <v>226</v>
      </c>
      <c r="AE2" s="336" t="s">
        <v>351</v>
      </c>
    </row>
    <row r="3" spans="1:31" ht="15" x14ac:dyDescent="0.25">
      <c r="A3" s="314">
        <v>43862</v>
      </c>
      <c r="B3" s="291">
        <v>6746.5599999999995</v>
      </c>
      <c r="C3" s="291">
        <v>2309</v>
      </c>
      <c r="D3" s="291">
        <v>12684.76</v>
      </c>
      <c r="E3" s="291">
        <v>588.62630000000001</v>
      </c>
      <c r="F3" s="291">
        <v>3671</v>
      </c>
      <c r="G3" s="291">
        <v>3.38</v>
      </c>
      <c r="H3" s="291">
        <v>335.85</v>
      </c>
      <c r="I3" s="291">
        <f>G3*O3*0.036</f>
        <v>11.206727999999996</v>
      </c>
      <c r="J3" s="291">
        <v>9390.26</v>
      </c>
      <c r="K3" s="291">
        <v>71.622540000000001</v>
      </c>
      <c r="L3" s="291">
        <v>62.03</v>
      </c>
      <c r="M3" s="291">
        <v>428.57</v>
      </c>
      <c r="N3" s="291">
        <v>1109.04</v>
      </c>
      <c r="O3" s="291">
        <v>92.1</v>
      </c>
      <c r="Q3" s="331" t="s">
        <v>229</v>
      </c>
      <c r="R3" s="636">
        <f>207854.58+279158.13</f>
        <v>487012.70999999996</v>
      </c>
      <c r="S3" s="637">
        <v>329054</v>
      </c>
      <c r="T3" s="638">
        <v>949352</v>
      </c>
      <c r="U3" s="636">
        <f>7616+40781.45</f>
        <v>48397.45</v>
      </c>
      <c r="V3" s="639"/>
      <c r="W3" s="640">
        <v>1457.49</v>
      </c>
      <c r="X3" s="641">
        <v>74667.070000000007</v>
      </c>
      <c r="Y3" s="637">
        <v>4994.68</v>
      </c>
      <c r="Z3" s="642">
        <v>532287.84</v>
      </c>
      <c r="AA3" s="643">
        <v>7195.4453159999994</v>
      </c>
      <c r="AB3" s="641">
        <v>81094.19</v>
      </c>
      <c r="AC3" s="637">
        <v>71474.03</v>
      </c>
      <c r="AD3" s="637">
        <f>129309+(413081-319697)</f>
        <v>222693</v>
      </c>
      <c r="AE3" s="638">
        <v>1910.34</v>
      </c>
    </row>
    <row r="4" spans="1:31" ht="15" x14ac:dyDescent="0.2">
      <c r="A4" s="314">
        <v>43863</v>
      </c>
      <c r="B4" s="291">
        <v>5015.04</v>
      </c>
      <c r="C4" s="291">
        <v>219</v>
      </c>
      <c r="D4" s="291">
        <v>4930.13</v>
      </c>
      <c r="E4" s="291">
        <v>195.50980000000001</v>
      </c>
      <c r="F4" s="309">
        <v>4072</v>
      </c>
      <c r="G4" s="291">
        <v>0.99</v>
      </c>
      <c r="H4" s="291">
        <v>256.2</v>
      </c>
      <c r="I4" s="291">
        <f>G4*O4*0.036</f>
        <v>3.5105399999999998</v>
      </c>
      <c r="J4" s="291">
        <v>7889.13</v>
      </c>
      <c r="K4" s="291">
        <v>27.557927999999997</v>
      </c>
      <c r="L4" s="291">
        <v>472.36</v>
      </c>
      <c r="M4" s="291">
        <v>48.16</v>
      </c>
      <c r="N4" s="291">
        <v>15.440000000000001</v>
      </c>
      <c r="O4" s="291">
        <v>98.5</v>
      </c>
      <c r="Q4" s="332" t="s">
        <v>230</v>
      </c>
      <c r="R4" s="624">
        <f t="shared" ref="R4:AD4" si="0">SUM(B3:B31)</f>
        <v>459120.23999999993</v>
      </c>
      <c r="S4" s="326">
        <f t="shared" si="0"/>
        <v>307870</v>
      </c>
      <c r="T4" s="329">
        <f t="shared" si="0"/>
        <v>1281278.9699999997</v>
      </c>
      <c r="U4" s="624">
        <f t="shared" si="0"/>
        <v>49444.549400000004</v>
      </c>
      <c r="V4" s="329">
        <f>SUM(F3:F31)+415000</f>
        <v>655161</v>
      </c>
      <c r="W4" s="330">
        <f t="shared" si="0"/>
        <v>1072.5999999999999</v>
      </c>
      <c r="X4" s="326">
        <f t="shared" si="0"/>
        <v>65691.829999999987</v>
      </c>
      <c r="Y4" s="326">
        <f>SUM(I3:I31)</f>
        <v>3829.7098419455688</v>
      </c>
      <c r="Z4" s="623">
        <f t="shared" si="0"/>
        <v>474232.33</v>
      </c>
      <c r="AA4" s="624">
        <f t="shared" si="0"/>
        <v>6353.8898918399982</v>
      </c>
      <c r="AB4" s="326">
        <f t="shared" si="0"/>
        <v>80896.73</v>
      </c>
      <c r="AC4" s="326">
        <f t="shared" si="0"/>
        <v>68791.040000000008</v>
      </c>
      <c r="AD4" s="326">
        <f t="shared" si="0"/>
        <v>201045.82999999993</v>
      </c>
      <c r="AE4" s="329">
        <v>1862.94</v>
      </c>
    </row>
    <row r="5" spans="1:31" ht="15" x14ac:dyDescent="0.2">
      <c r="A5" s="314">
        <v>43864</v>
      </c>
      <c r="B5" s="291">
        <v>4615.79</v>
      </c>
      <c r="C5" s="291">
        <v>447</v>
      </c>
      <c r="D5" s="291">
        <v>4600.1400000000003</v>
      </c>
      <c r="E5" s="291">
        <v>160.1224</v>
      </c>
      <c r="F5" s="322">
        <v>3818</v>
      </c>
      <c r="G5" s="291">
        <v>1.45</v>
      </c>
      <c r="H5" s="291">
        <v>267.45999999999998</v>
      </c>
      <c r="I5" s="291">
        <f t="shared" ref="I5:I31" si="1">G5*O5*0.036</f>
        <v>4.6979999999999995</v>
      </c>
      <c r="J5" s="291">
        <v>7575.21</v>
      </c>
      <c r="K5" s="291">
        <v>32.724683999999996</v>
      </c>
      <c r="L5" s="291">
        <v>526.77</v>
      </c>
      <c r="M5" s="291">
        <v>132.75</v>
      </c>
      <c r="N5" s="291">
        <v>559.71</v>
      </c>
      <c r="O5" s="341">
        <v>90</v>
      </c>
      <c r="Q5" s="634" t="s">
        <v>350</v>
      </c>
      <c r="R5" s="628">
        <v>497927</v>
      </c>
      <c r="S5" s="629">
        <v>365099</v>
      </c>
      <c r="T5" s="630">
        <v>1588299</v>
      </c>
      <c r="U5" s="628">
        <v>41470</v>
      </c>
      <c r="V5" s="630">
        <f>168715+66450+477251</f>
        <v>712416</v>
      </c>
      <c r="W5" s="631">
        <v>1262</v>
      </c>
      <c r="X5" s="629">
        <v>82382</v>
      </c>
      <c r="Y5" s="629">
        <v>4559</v>
      </c>
      <c r="Z5" s="632">
        <v>508937</v>
      </c>
      <c r="AA5" s="628">
        <v>5425</v>
      </c>
      <c r="AB5" s="629">
        <v>192910</v>
      </c>
      <c r="AC5" s="629">
        <v>62310</v>
      </c>
      <c r="AD5" s="629">
        <v>203077</v>
      </c>
      <c r="AE5" s="630">
        <v>1650.53</v>
      </c>
    </row>
    <row r="6" spans="1:31" ht="15.75" thickBot="1" x14ac:dyDescent="0.25">
      <c r="A6" s="314">
        <v>43865</v>
      </c>
      <c r="B6" s="291">
        <v>24232.41</v>
      </c>
      <c r="C6" s="291">
        <v>15183</v>
      </c>
      <c r="D6" s="291">
        <v>56853.229999999996</v>
      </c>
      <c r="E6" s="291">
        <v>2743.0183000000002</v>
      </c>
      <c r="F6" s="322">
        <v>10248</v>
      </c>
      <c r="G6" s="291">
        <v>79.650000000000006</v>
      </c>
      <c r="H6" s="291">
        <v>4589.5600000000004</v>
      </c>
      <c r="I6" s="291">
        <f t="shared" si="1"/>
        <v>290.31056716960558</v>
      </c>
      <c r="J6" s="291">
        <v>23051.48</v>
      </c>
      <c r="K6" s="291">
        <v>401.51141999999999</v>
      </c>
      <c r="L6" s="291">
        <v>5428.97</v>
      </c>
      <c r="M6" s="291">
        <v>3786.28</v>
      </c>
      <c r="N6" s="291">
        <v>10442.67</v>
      </c>
      <c r="O6" s="341">
        <v>101.24522814033813</v>
      </c>
      <c r="Q6" s="634" t="s">
        <v>353</v>
      </c>
      <c r="R6" s="628">
        <f>56942.13+22865.06</f>
        <v>79807.19</v>
      </c>
      <c r="S6" s="629">
        <f>20793+18793</f>
        <v>39586</v>
      </c>
      <c r="T6" s="630">
        <f>64745.47+156479</f>
        <v>221224.47</v>
      </c>
      <c r="U6" s="628">
        <f>174555.24/100+3887.49</f>
        <v>5633.0423999999994</v>
      </c>
      <c r="V6" s="630">
        <f>10141.82+8639</f>
        <v>18780.82</v>
      </c>
      <c r="W6" s="631">
        <v>87.91</v>
      </c>
      <c r="X6" s="629">
        <v>11456.38</v>
      </c>
      <c r="Y6" s="629">
        <f>W6*90*0.036</f>
        <v>284.82839999999999</v>
      </c>
      <c r="Z6" s="632">
        <f>-40144747.11+40362713.22-38910213+38896168-38826116.84+38810979</f>
        <v>188783.26999999583</v>
      </c>
      <c r="AA6" s="628">
        <f>10151*0.036+2072*0.0036</f>
        <v>372.89519999999999</v>
      </c>
      <c r="AB6" s="629">
        <v>71418.94</v>
      </c>
      <c r="AC6" s="629">
        <f>6296.19+3849.71</f>
        <v>10145.9</v>
      </c>
      <c r="AD6" s="629">
        <f>10092.28+9127.39</f>
        <v>19219.669999999998</v>
      </c>
      <c r="AE6" s="630">
        <v>108.38</v>
      </c>
    </row>
    <row r="7" spans="1:31" ht="15.75" thickBot="1" x14ac:dyDescent="0.25">
      <c r="A7" s="314">
        <v>43866</v>
      </c>
      <c r="B7" s="291">
        <v>19632.91</v>
      </c>
      <c r="C7" s="291">
        <v>8102</v>
      </c>
      <c r="D7" s="291">
        <v>42969.4</v>
      </c>
      <c r="E7" s="291">
        <v>1815.3959</v>
      </c>
      <c r="F7" s="322">
        <v>7605</v>
      </c>
      <c r="G7" s="291">
        <v>57.44</v>
      </c>
      <c r="H7" s="291">
        <v>3749.04</v>
      </c>
      <c r="I7" s="291">
        <f t="shared" si="1"/>
        <v>189.4383955586398</v>
      </c>
      <c r="J7" s="291">
        <v>22844.66</v>
      </c>
      <c r="K7" s="291">
        <v>368.72263871999979</v>
      </c>
      <c r="L7" s="291">
        <v>2846.53</v>
      </c>
      <c r="M7" s="291">
        <v>2711.91</v>
      </c>
      <c r="N7" s="291">
        <v>9102.9</v>
      </c>
      <c r="O7" s="341">
        <v>91.611727966689799</v>
      </c>
      <c r="Q7" s="635" t="s">
        <v>231</v>
      </c>
      <c r="R7" s="633">
        <f>(R6/R5)-1</f>
        <v>-0.83972110369592334</v>
      </c>
      <c r="S7" s="633">
        <f t="shared" ref="S7:AE7" si="2">(S6/S5)-1</f>
        <v>-0.89157461400880311</v>
      </c>
      <c r="T7" s="633">
        <f t="shared" si="2"/>
        <v>-0.86071610572064827</v>
      </c>
      <c r="U7" s="633">
        <f t="shared" si="2"/>
        <v>-0.86416584518929351</v>
      </c>
      <c r="V7" s="633">
        <f t="shared" si="2"/>
        <v>-0.97363784642680684</v>
      </c>
      <c r="W7" s="633">
        <f t="shared" si="2"/>
        <v>-0.93034072900158482</v>
      </c>
      <c r="X7" s="633">
        <f t="shared" si="2"/>
        <v>-0.86093588405234156</v>
      </c>
      <c r="Y7" s="633">
        <f t="shared" si="2"/>
        <v>-0.93752393068655404</v>
      </c>
      <c r="Z7" s="633">
        <f t="shared" si="2"/>
        <v>-0.62906357761374032</v>
      </c>
      <c r="AA7" s="633">
        <f t="shared" si="2"/>
        <v>-0.93126355760368662</v>
      </c>
      <c r="AB7" s="633">
        <f t="shared" si="2"/>
        <v>-0.62978103778964289</v>
      </c>
      <c r="AC7" s="633">
        <f t="shared" si="2"/>
        <v>-0.83717059861980425</v>
      </c>
      <c r="AD7" s="633">
        <f t="shared" si="2"/>
        <v>-0.90535772145540849</v>
      </c>
      <c r="AE7" s="633">
        <f t="shared" si="2"/>
        <v>-0.93433624350966049</v>
      </c>
    </row>
    <row r="8" spans="1:31" ht="12.75" x14ac:dyDescent="0.2">
      <c r="A8" s="314">
        <v>43867</v>
      </c>
      <c r="B8" s="291">
        <v>11157.11</v>
      </c>
      <c r="C8" s="291">
        <v>0</v>
      </c>
      <c r="D8" s="291">
        <v>3558.89</v>
      </c>
      <c r="E8" s="291">
        <v>326.62419999999997</v>
      </c>
      <c r="F8" s="322">
        <v>0</v>
      </c>
      <c r="G8" s="291">
        <v>62.84</v>
      </c>
      <c r="H8" s="291">
        <v>3918.54</v>
      </c>
      <c r="I8" s="291">
        <f t="shared" si="1"/>
        <v>228.53472739450771</v>
      </c>
      <c r="J8" s="291">
        <v>22247.37</v>
      </c>
      <c r="K8" s="291">
        <v>421.95424608000013</v>
      </c>
      <c r="L8" s="291">
        <v>764.75</v>
      </c>
      <c r="M8" s="291">
        <v>0</v>
      </c>
      <c r="N8" s="291">
        <v>4975.7999999999993</v>
      </c>
      <c r="O8" s="341">
        <v>101.02143335565975</v>
      </c>
      <c r="Q8" s="317"/>
      <c r="R8" s="317"/>
      <c r="S8" s="316"/>
      <c r="T8" s="316"/>
      <c r="U8" s="316"/>
    </row>
    <row r="9" spans="1:31" ht="12.75" x14ac:dyDescent="0.2">
      <c r="A9" s="314">
        <v>43868</v>
      </c>
      <c r="B9" s="291">
        <v>27823.120000000003</v>
      </c>
      <c r="C9" s="291">
        <v>21969</v>
      </c>
      <c r="D9" s="291">
        <v>100294.16</v>
      </c>
      <c r="E9" s="291">
        <v>4018.9855000000002</v>
      </c>
      <c r="F9" s="322">
        <v>8691</v>
      </c>
      <c r="G9" s="291">
        <v>12.86</v>
      </c>
      <c r="H9" s="291">
        <v>762.21</v>
      </c>
      <c r="I9" s="291">
        <f t="shared" si="1"/>
        <v>44.234327560613544</v>
      </c>
      <c r="J9" s="291">
        <v>15116.08</v>
      </c>
      <c r="K9" s="291">
        <v>140.30773199999999</v>
      </c>
      <c r="L9" s="291">
        <v>4473.3</v>
      </c>
      <c r="M9" s="291">
        <v>7772.94</v>
      </c>
      <c r="N9" s="291">
        <v>13505.39</v>
      </c>
      <c r="O9" s="345">
        <v>95.546759030183068</v>
      </c>
      <c r="Q9" s="317"/>
      <c r="R9" s="317"/>
      <c r="S9" s="316"/>
      <c r="T9" s="316"/>
      <c r="U9" s="316"/>
    </row>
    <row r="10" spans="1:31" ht="12.75" x14ac:dyDescent="0.2">
      <c r="A10" s="314">
        <v>43869</v>
      </c>
      <c r="B10" s="291">
        <v>7131.18</v>
      </c>
      <c r="C10" s="291">
        <v>3717</v>
      </c>
      <c r="D10" s="291">
        <v>19285.510000000002</v>
      </c>
      <c r="E10" s="291">
        <v>910.22090000000003</v>
      </c>
      <c r="F10" s="322">
        <v>2166</v>
      </c>
      <c r="G10" s="291">
        <v>2.02</v>
      </c>
      <c r="H10" s="291">
        <v>411.23</v>
      </c>
      <c r="I10" s="291">
        <f t="shared" si="1"/>
        <v>8.2071904427266329</v>
      </c>
      <c r="J10" s="291">
        <v>9241.9699999999993</v>
      </c>
      <c r="K10" s="291">
        <v>58.326011999999999</v>
      </c>
      <c r="L10" s="291">
        <v>1694.67</v>
      </c>
      <c r="M10" s="291">
        <v>576.01</v>
      </c>
      <c r="N10" s="291">
        <v>2549.0600000000004</v>
      </c>
      <c r="O10" s="345">
        <v>112.86015460295151</v>
      </c>
      <c r="Q10" s="317"/>
      <c r="R10" s="317"/>
      <c r="S10" s="316"/>
      <c r="T10" s="316"/>
      <c r="U10" s="316"/>
    </row>
    <row r="11" spans="1:31" ht="12.75" x14ac:dyDescent="0.2">
      <c r="A11" s="314">
        <v>43870</v>
      </c>
      <c r="B11" s="291">
        <v>6234.9400000000005</v>
      </c>
      <c r="C11" s="291">
        <v>1297</v>
      </c>
      <c r="D11" s="291">
        <v>13596.4</v>
      </c>
      <c r="E11" s="291">
        <v>599.98689999999999</v>
      </c>
      <c r="F11" s="322">
        <v>4649</v>
      </c>
      <c r="G11" s="291">
        <v>2.56</v>
      </c>
      <c r="H11" s="291">
        <v>387.25</v>
      </c>
      <c r="I11" s="291">
        <f t="shared" si="1"/>
        <v>9.7850040485829943</v>
      </c>
      <c r="J11" s="291">
        <v>9858.18</v>
      </c>
      <c r="K11" s="291">
        <v>38.252807999999995</v>
      </c>
      <c r="L11" s="291">
        <v>3027.69</v>
      </c>
      <c r="M11" s="291">
        <v>262.67</v>
      </c>
      <c r="N11" s="291">
        <v>989.54</v>
      </c>
      <c r="O11" s="345">
        <v>106.17408906882591</v>
      </c>
      <c r="Q11" s="315"/>
      <c r="R11" s="315"/>
      <c r="S11" s="316"/>
      <c r="T11" s="316"/>
      <c r="U11" s="316"/>
    </row>
    <row r="12" spans="1:31" ht="12.75" x14ac:dyDescent="0.2">
      <c r="A12" s="314">
        <v>43871</v>
      </c>
      <c r="B12" s="291">
        <v>20896.949999999997</v>
      </c>
      <c r="C12" s="291">
        <v>18677</v>
      </c>
      <c r="D12" s="291">
        <v>49895.07</v>
      </c>
      <c r="E12" s="291">
        <v>2683.0991999999997</v>
      </c>
      <c r="F12" s="322">
        <v>12721</v>
      </c>
      <c r="G12" s="291">
        <v>78.989999999999995</v>
      </c>
      <c r="H12" s="291">
        <v>4290.9799999999996</v>
      </c>
      <c r="I12" s="291">
        <f t="shared" si="1"/>
        <v>423.77032512315265</v>
      </c>
      <c r="J12" s="291">
        <v>21965.56</v>
      </c>
      <c r="K12" s="291">
        <v>294.53111999999999</v>
      </c>
      <c r="L12" s="291">
        <v>7453.38</v>
      </c>
      <c r="M12" s="291">
        <v>3897.17</v>
      </c>
      <c r="N12" s="291">
        <v>10705.77</v>
      </c>
      <c r="O12" s="341">
        <v>149.02390074803867</v>
      </c>
      <c r="Q12" s="317"/>
      <c r="R12" s="317"/>
      <c r="S12" s="316"/>
      <c r="T12" s="316"/>
      <c r="U12" s="316"/>
    </row>
    <row r="13" spans="1:31" ht="12.75" x14ac:dyDescent="0.2">
      <c r="A13" s="314">
        <v>43872</v>
      </c>
      <c r="B13" s="291">
        <v>22902.190000000002</v>
      </c>
      <c r="C13" s="291">
        <v>13541</v>
      </c>
      <c r="D13" s="291">
        <v>59396.57</v>
      </c>
      <c r="E13" s="291">
        <v>2600.9767999999999</v>
      </c>
      <c r="F13" s="322">
        <v>18565</v>
      </c>
      <c r="G13" s="291">
        <v>65.510000000000005</v>
      </c>
      <c r="H13" s="291">
        <v>3508.3</v>
      </c>
      <c r="I13" s="291">
        <f t="shared" si="1"/>
        <v>232.7259080090061</v>
      </c>
      <c r="J13" s="291">
        <v>22516.15</v>
      </c>
      <c r="K13" s="291">
        <v>331.88040000000001</v>
      </c>
      <c r="L13" s="291">
        <v>3476.06</v>
      </c>
      <c r="M13" s="291">
        <v>3453.9</v>
      </c>
      <c r="N13" s="291">
        <v>10749.61</v>
      </c>
      <c r="O13" s="341">
        <v>98.681247989707302</v>
      </c>
      <c r="Q13" s="317"/>
      <c r="R13" s="317"/>
      <c r="S13" s="316"/>
      <c r="T13" s="316"/>
      <c r="U13" s="316"/>
    </row>
    <row r="14" spans="1:31" ht="12.75" x14ac:dyDescent="0.2">
      <c r="A14" s="314">
        <v>43873</v>
      </c>
      <c r="B14" s="291">
        <v>21150.91</v>
      </c>
      <c r="C14" s="291">
        <v>17810</v>
      </c>
      <c r="D14" s="291">
        <v>58776.229999999996</v>
      </c>
      <c r="E14" s="291">
        <v>2495.7944000000002</v>
      </c>
      <c r="F14" s="323">
        <v>18403</v>
      </c>
      <c r="G14" s="291">
        <v>71.42</v>
      </c>
      <c r="H14" s="291">
        <v>4528.09</v>
      </c>
      <c r="I14" s="291">
        <f t="shared" si="1"/>
        <v>255.92500697021816</v>
      </c>
      <c r="J14" s="291">
        <v>24220.22</v>
      </c>
      <c r="K14" s="291">
        <v>383.42394000000002</v>
      </c>
      <c r="L14" s="291">
        <v>3357.27</v>
      </c>
      <c r="M14" s="291">
        <v>3118.57</v>
      </c>
      <c r="N14" s="291">
        <v>10216.59</v>
      </c>
      <c r="O14" s="341">
        <v>99.538336199873271</v>
      </c>
      <c r="Q14" s="317"/>
      <c r="R14" s="317"/>
      <c r="S14" s="316"/>
      <c r="T14" s="316"/>
      <c r="U14" s="316"/>
    </row>
    <row r="15" spans="1:31" ht="12.75" x14ac:dyDescent="0.2">
      <c r="A15" s="314">
        <v>43874</v>
      </c>
      <c r="B15" s="291">
        <v>18992.32</v>
      </c>
      <c r="C15" s="291">
        <v>16199</v>
      </c>
      <c r="D15" s="291">
        <v>60536.520000000004</v>
      </c>
      <c r="E15" s="291">
        <v>2390.7322000000004</v>
      </c>
      <c r="F15" s="322">
        <v>14080</v>
      </c>
      <c r="G15" s="291">
        <v>52.01</v>
      </c>
      <c r="H15" s="291">
        <v>3242.96</v>
      </c>
      <c r="I15" s="291">
        <f t="shared" si="1"/>
        <v>203.94064818935868</v>
      </c>
      <c r="J15" s="291">
        <v>20575.14</v>
      </c>
      <c r="K15" s="291">
        <v>383.23468799999995</v>
      </c>
      <c r="L15" s="291">
        <v>3220.44</v>
      </c>
      <c r="M15" s="291">
        <v>3367.55</v>
      </c>
      <c r="N15" s="291">
        <v>9118.33</v>
      </c>
      <c r="O15" s="341">
        <v>108.92170746510216</v>
      </c>
      <c r="Q15" s="317"/>
      <c r="R15" s="317"/>
      <c r="S15" s="316"/>
      <c r="T15" s="316"/>
      <c r="U15" s="316"/>
    </row>
    <row r="16" spans="1:31" ht="12.75" x14ac:dyDescent="0.2">
      <c r="A16" s="314">
        <v>43875</v>
      </c>
      <c r="B16" s="291">
        <v>14832.060000000001</v>
      </c>
      <c r="C16" s="291">
        <v>13044</v>
      </c>
      <c r="D16" s="291">
        <v>44908.19</v>
      </c>
      <c r="E16" s="291">
        <v>1645.239</v>
      </c>
      <c r="F16" s="322">
        <v>7665</v>
      </c>
      <c r="G16" s="291">
        <v>3.58</v>
      </c>
      <c r="H16" s="291">
        <v>478.74</v>
      </c>
      <c r="I16" s="291">
        <f t="shared" si="1"/>
        <v>11.786031249999999</v>
      </c>
      <c r="J16" s="291">
        <v>16788.689999999999</v>
      </c>
      <c r="K16" s="291">
        <v>152.03912399999999</v>
      </c>
      <c r="L16" s="291">
        <v>676.36</v>
      </c>
      <c r="M16" s="291">
        <v>2576.6</v>
      </c>
      <c r="N16" s="291">
        <v>6231.7900000000009</v>
      </c>
      <c r="O16" s="341">
        <v>91.449652777777786</v>
      </c>
      <c r="Q16" s="317"/>
      <c r="R16" s="317"/>
      <c r="S16" s="316"/>
      <c r="T16" s="316"/>
      <c r="U16" s="316"/>
    </row>
    <row r="17" spans="1:21" ht="12.75" x14ac:dyDescent="0.2">
      <c r="A17" s="314">
        <v>43876</v>
      </c>
      <c r="B17" s="291">
        <v>6506.12</v>
      </c>
      <c r="C17" s="291">
        <v>3857</v>
      </c>
      <c r="D17" s="291">
        <v>18477.2</v>
      </c>
      <c r="E17" s="291">
        <v>473.90650000000005</v>
      </c>
      <c r="F17" s="322">
        <v>4331</v>
      </c>
      <c r="G17" s="291">
        <v>0.7</v>
      </c>
      <c r="H17" s="291">
        <v>327.91</v>
      </c>
      <c r="I17" s="291">
        <f t="shared" si="1"/>
        <v>2.2168421052631575</v>
      </c>
      <c r="J17" s="291">
        <v>10217.16</v>
      </c>
      <c r="K17" s="291">
        <v>42.525252000000002</v>
      </c>
      <c r="L17" s="291">
        <v>497.69</v>
      </c>
      <c r="M17" s="291">
        <v>500.93</v>
      </c>
      <c r="N17" s="291">
        <v>1296.67</v>
      </c>
      <c r="O17" s="345">
        <v>87.969924812030072</v>
      </c>
      <c r="Q17" s="315"/>
      <c r="R17" s="315"/>
      <c r="S17" s="316"/>
      <c r="T17" s="316"/>
      <c r="U17" s="316"/>
    </row>
    <row r="18" spans="1:21" ht="12.75" x14ac:dyDescent="0.2">
      <c r="A18" s="314">
        <v>43877</v>
      </c>
      <c r="B18" s="291">
        <v>4796.34</v>
      </c>
      <c r="C18" s="291">
        <v>506</v>
      </c>
      <c r="D18" s="291">
        <v>12127.25</v>
      </c>
      <c r="E18" s="291">
        <v>268.66159999999996</v>
      </c>
      <c r="F18" s="322">
        <v>4996</v>
      </c>
      <c r="G18" s="291">
        <v>2.95</v>
      </c>
      <c r="H18" s="291">
        <v>331.94</v>
      </c>
      <c r="I18" s="291">
        <f t="shared" si="1"/>
        <v>11.28131868131868</v>
      </c>
      <c r="J18" s="291">
        <v>7814.12</v>
      </c>
      <c r="K18" s="291">
        <v>31.809383999999998</v>
      </c>
      <c r="L18" s="291">
        <v>371.56</v>
      </c>
      <c r="M18" s="291">
        <v>129.13</v>
      </c>
      <c r="N18" s="291">
        <v>497.28</v>
      </c>
      <c r="O18" s="345">
        <v>106.22710622710623</v>
      </c>
      <c r="Q18" s="315"/>
      <c r="R18" s="315"/>
      <c r="S18" s="316"/>
      <c r="T18" s="316"/>
      <c r="U18" s="316"/>
    </row>
    <row r="19" spans="1:21" ht="12.75" x14ac:dyDescent="0.2">
      <c r="A19" s="314">
        <v>43878</v>
      </c>
      <c r="B19" s="291">
        <v>20977.75</v>
      </c>
      <c r="C19" s="291">
        <v>17829</v>
      </c>
      <c r="D19" s="291">
        <v>62146.95</v>
      </c>
      <c r="E19" s="291">
        <v>2739.8409999999999</v>
      </c>
      <c r="F19" s="322">
        <v>16704</v>
      </c>
      <c r="G19" s="291">
        <v>81.75</v>
      </c>
      <c r="H19" s="291">
        <v>4831.2299999999996</v>
      </c>
      <c r="I19" s="291">
        <f t="shared" si="1"/>
        <v>287.81371244412099</v>
      </c>
      <c r="J19" s="291">
        <v>23948.41</v>
      </c>
      <c r="K19" s="291">
        <v>339.15542399999998</v>
      </c>
      <c r="L19" s="291">
        <v>7218.84</v>
      </c>
      <c r="M19" s="291">
        <v>3825.98</v>
      </c>
      <c r="N19" s="291">
        <v>10545.79</v>
      </c>
      <c r="O19" s="344">
        <v>97.796028693211355</v>
      </c>
      <c r="Q19" s="317"/>
      <c r="R19" s="317"/>
      <c r="S19" s="316"/>
      <c r="T19" s="316"/>
      <c r="U19" s="316"/>
    </row>
    <row r="20" spans="1:21" ht="12.75" x14ac:dyDescent="0.2">
      <c r="A20" s="314">
        <v>43879</v>
      </c>
      <c r="B20" s="291">
        <v>25154.66</v>
      </c>
      <c r="C20" s="291">
        <v>14862</v>
      </c>
      <c r="D20" s="291">
        <v>77319.33</v>
      </c>
      <c r="E20" s="291">
        <v>3116.384</v>
      </c>
      <c r="F20" s="322">
        <v>704</v>
      </c>
      <c r="G20" s="291">
        <v>72.569999999999993</v>
      </c>
      <c r="H20" s="291">
        <v>4490.45</v>
      </c>
      <c r="I20" s="291">
        <f t="shared" si="1"/>
        <v>260.22236482599624</v>
      </c>
      <c r="J20" s="291">
        <v>23271.64</v>
      </c>
      <c r="K20" s="291">
        <v>327.144204</v>
      </c>
      <c r="L20" s="291">
        <v>7729.63</v>
      </c>
      <c r="M20" s="291">
        <v>3940.01</v>
      </c>
      <c r="N20" s="291">
        <v>11150.2</v>
      </c>
      <c r="O20" s="344">
        <v>99.605884290262381</v>
      </c>
      <c r="Q20" s="317"/>
      <c r="R20" s="317"/>
      <c r="S20" s="316"/>
      <c r="T20" s="316"/>
      <c r="U20" s="316"/>
    </row>
    <row r="21" spans="1:21" ht="12.75" x14ac:dyDescent="0.2">
      <c r="A21" s="314">
        <v>43880</v>
      </c>
      <c r="B21" s="291">
        <v>23892.739999999998</v>
      </c>
      <c r="C21" s="291">
        <v>13660</v>
      </c>
      <c r="D21" s="291">
        <v>76952.399999999994</v>
      </c>
      <c r="E21" s="291">
        <v>2731.0520000000001</v>
      </c>
      <c r="F21" s="322">
        <v>17747</v>
      </c>
      <c r="G21" s="291">
        <v>62.12</v>
      </c>
      <c r="H21" s="291">
        <v>3705.81</v>
      </c>
      <c r="I21" s="291">
        <f t="shared" si="1"/>
        <v>220.02619542083195</v>
      </c>
      <c r="J21" s="291">
        <v>23349.02</v>
      </c>
      <c r="K21" s="291">
        <v>330.05487599999998</v>
      </c>
      <c r="L21" s="291">
        <v>3388.91</v>
      </c>
      <c r="M21" s="291">
        <v>3357.19</v>
      </c>
      <c r="N21" s="291">
        <v>11055.49</v>
      </c>
      <c r="O21" s="344">
        <v>98.387616897774905</v>
      </c>
      <c r="Q21" s="317"/>
      <c r="R21" s="317"/>
      <c r="S21" s="316"/>
      <c r="T21" s="316"/>
      <c r="U21" s="316"/>
    </row>
    <row r="22" spans="1:21" ht="12.75" x14ac:dyDescent="0.2">
      <c r="A22" s="314">
        <v>43881</v>
      </c>
      <c r="B22" s="291">
        <v>20894.689999999999</v>
      </c>
      <c r="C22" s="291">
        <v>14469</v>
      </c>
      <c r="D22" s="291">
        <v>68704.61</v>
      </c>
      <c r="E22" s="291">
        <v>2267.4515000000001</v>
      </c>
      <c r="F22" s="346">
        <v>10926</v>
      </c>
      <c r="G22" s="291">
        <v>57.42</v>
      </c>
      <c r="H22" s="291">
        <v>3468.28</v>
      </c>
      <c r="I22" s="291">
        <f t="shared" si="1"/>
        <v>191.78160994818651</v>
      </c>
      <c r="J22" s="291">
        <v>21562.45</v>
      </c>
      <c r="K22" s="291">
        <v>322.84274399999998</v>
      </c>
      <c r="L22" s="291">
        <v>1501.23</v>
      </c>
      <c r="M22" s="291">
        <v>3188.34</v>
      </c>
      <c r="N22" s="291">
        <v>10475.060000000001</v>
      </c>
      <c r="O22" s="344">
        <v>92.777202072538856</v>
      </c>
      <c r="Q22" s="317"/>
      <c r="R22" s="317"/>
      <c r="S22" s="316"/>
      <c r="T22" s="316"/>
      <c r="U22" s="316"/>
    </row>
    <row r="23" spans="1:21" ht="12.75" x14ac:dyDescent="0.2">
      <c r="A23" s="314">
        <v>43882</v>
      </c>
      <c r="B23" s="291">
        <v>14462.259999999998</v>
      </c>
      <c r="C23" s="291">
        <v>12190</v>
      </c>
      <c r="D23" s="291">
        <v>48126.96</v>
      </c>
      <c r="E23" s="291">
        <v>1793.9319</v>
      </c>
      <c r="F23" s="346">
        <v>3698</v>
      </c>
      <c r="G23" s="291">
        <v>16.82</v>
      </c>
      <c r="H23" s="291">
        <v>1060.4000000000001</v>
      </c>
      <c r="I23" s="291">
        <f t="shared" si="1"/>
        <v>51.2760405189266</v>
      </c>
      <c r="J23" s="291">
        <v>12545.72</v>
      </c>
      <c r="K23" s="291">
        <v>172.08273599999998</v>
      </c>
      <c r="L23" s="291">
        <v>583.58000000000004</v>
      </c>
      <c r="M23" s="291">
        <v>2000.31</v>
      </c>
      <c r="N23" s="291">
        <v>5488.12</v>
      </c>
      <c r="O23" s="344">
        <v>84.681002310289671</v>
      </c>
      <c r="Q23" s="317"/>
      <c r="R23" s="317"/>
      <c r="S23" s="316"/>
      <c r="T23" s="316"/>
      <c r="U23" s="316"/>
    </row>
    <row r="24" spans="1:21" ht="12.75" x14ac:dyDescent="0.2">
      <c r="A24" s="314">
        <v>43883</v>
      </c>
      <c r="B24" s="291">
        <v>6997.6100000000006</v>
      </c>
      <c r="C24" s="291">
        <v>2639</v>
      </c>
      <c r="D24" s="291">
        <v>20602.16</v>
      </c>
      <c r="E24" s="291">
        <v>533.04870000000005</v>
      </c>
      <c r="F24" s="346">
        <v>5815</v>
      </c>
      <c r="G24" s="291">
        <v>3.38</v>
      </c>
      <c r="H24" s="291">
        <v>297.95</v>
      </c>
      <c r="I24" s="291">
        <f t="shared" si="1"/>
        <v>12.066699314397647</v>
      </c>
      <c r="J24" s="291">
        <v>9113</v>
      </c>
      <c r="K24" s="291">
        <v>73.409615999999986</v>
      </c>
      <c r="L24" s="291">
        <v>79.33</v>
      </c>
      <c r="M24" s="291">
        <v>574.6</v>
      </c>
      <c r="N24" s="291">
        <v>2110.9700000000003</v>
      </c>
      <c r="O24" s="344">
        <v>99.167482859941231</v>
      </c>
      <c r="Q24" s="317"/>
      <c r="R24" s="315"/>
      <c r="S24" s="316"/>
      <c r="T24" s="316"/>
      <c r="U24" s="316"/>
    </row>
    <row r="25" spans="1:21" ht="12.75" x14ac:dyDescent="0.2">
      <c r="A25" s="314">
        <v>43884</v>
      </c>
      <c r="B25" s="291">
        <v>6021.49</v>
      </c>
      <c r="C25" s="291">
        <v>693</v>
      </c>
      <c r="D25" s="291">
        <v>9410.81</v>
      </c>
      <c r="E25" s="291">
        <v>270.52850000000001</v>
      </c>
      <c r="F25" s="346">
        <v>78</v>
      </c>
      <c r="G25" s="291">
        <v>2.19</v>
      </c>
      <c r="H25" s="291">
        <v>326.36</v>
      </c>
      <c r="I25" s="291">
        <f t="shared" si="1"/>
        <v>7.3417918215613378</v>
      </c>
      <c r="J25" s="291">
        <v>8095.4</v>
      </c>
      <c r="K25" s="291">
        <v>18.522935999999998</v>
      </c>
      <c r="L25" s="291">
        <v>1579.66</v>
      </c>
      <c r="M25" s="291">
        <v>194.73</v>
      </c>
      <c r="N25" s="291">
        <v>931.32999999999993</v>
      </c>
      <c r="O25" s="344">
        <v>93.122676579925653</v>
      </c>
      <c r="Q25" s="315"/>
      <c r="R25" s="315"/>
      <c r="S25" s="316"/>
      <c r="T25" s="316"/>
      <c r="U25" s="316"/>
    </row>
    <row r="26" spans="1:21" ht="12.75" x14ac:dyDescent="0.2">
      <c r="A26" s="314">
        <v>43885</v>
      </c>
      <c r="B26" s="291">
        <v>19459.620000000003</v>
      </c>
      <c r="C26" s="291">
        <v>20286</v>
      </c>
      <c r="D26" s="291">
        <v>63846.369999999995</v>
      </c>
      <c r="E26" s="291">
        <v>2643.8154</v>
      </c>
      <c r="F26" s="346">
        <v>16279</v>
      </c>
      <c r="G26" s="291">
        <v>91.07</v>
      </c>
      <c r="H26" s="291">
        <v>4726.1499999999996</v>
      </c>
      <c r="I26" s="291">
        <f t="shared" si="1"/>
        <v>272.33488075079049</v>
      </c>
      <c r="J26" s="291">
        <v>19719.54</v>
      </c>
      <c r="K26" s="291">
        <v>293.65063199999997</v>
      </c>
      <c r="L26" s="291">
        <v>5429.98</v>
      </c>
      <c r="M26" s="291">
        <v>3848.75</v>
      </c>
      <c r="N26" s="291">
        <v>11464.33</v>
      </c>
      <c r="O26" s="341">
        <v>83.066408242374777</v>
      </c>
      <c r="Q26" s="317"/>
      <c r="R26" s="317"/>
      <c r="S26" s="316"/>
      <c r="T26" s="316"/>
      <c r="U26" s="316"/>
    </row>
    <row r="27" spans="1:21" ht="12.75" x14ac:dyDescent="0.2">
      <c r="A27" s="314">
        <v>43886</v>
      </c>
      <c r="B27" s="291">
        <v>25576.45</v>
      </c>
      <c r="C27" s="291">
        <v>21868</v>
      </c>
      <c r="D27" s="291">
        <v>75020.290000000008</v>
      </c>
      <c r="E27" s="291">
        <v>2889.0356999999999</v>
      </c>
      <c r="F27" s="347">
        <v>13806</v>
      </c>
      <c r="G27" s="291">
        <v>50.74</v>
      </c>
      <c r="H27" s="291">
        <v>2981.39</v>
      </c>
      <c r="I27" s="291">
        <f t="shared" si="1"/>
        <v>160.77338637493781</v>
      </c>
      <c r="J27" s="291">
        <v>17310.77</v>
      </c>
      <c r="K27" s="291">
        <v>255.38849999999996</v>
      </c>
      <c r="L27" s="291">
        <v>5702.84</v>
      </c>
      <c r="M27" s="291">
        <v>3630.98</v>
      </c>
      <c r="N27" s="291">
        <v>12221.77</v>
      </c>
      <c r="O27" s="341">
        <v>88.015912481352558</v>
      </c>
      <c r="Q27" s="317"/>
      <c r="R27" s="317"/>
      <c r="S27" s="316"/>
      <c r="T27" s="316"/>
      <c r="U27" s="316"/>
    </row>
    <row r="28" spans="1:21" ht="12.75" x14ac:dyDescent="0.2">
      <c r="A28" s="314">
        <v>43887</v>
      </c>
      <c r="B28" s="291">
        <v>23493.1</v>
      </c>
      <c r="C28" s="291">
        <v>15773</v>
      </c>
      <c r="D28" s="291">
        <v>64564.92</v>
      </c>
      <c r="E28" s="291">
        <v>2118.2308000000003</v>
      </c>
      <c r="F28" s="347">
        <v>7681</v>
      </c>
      <c r="G28" s="291">
        <v>73.87</v>
      </c>
      <c r="H28" s="291">
        <v>4156.58</v>
      </c>
      <c r="I28" s="291">
        <f t="shared" si="1"/>
        <v>237.74521445153803</v>
      </c>
      <c r="J28" s="291">
        <v>18435.810000000001</v>
      </c>
      <c r="K28" s="291">
        <v>444.12179903999953</v>
      </c>
      <c r="L28" s="291">
        <v>2295.59</v>
      </c>
      <c r="M28" s="291">
        <v>3736.22</v>
      </c>
      <c r="N28" s="291">
        <v>11918.69</v>
      </c>
      <c r="O28" s="341">
        <v>89.400754497968663</v>
      </c>
      <c r="Q28" s="317"/>
      <c r="R28" s="317"/>
      <c r="S28" s="316"/>
      <c r="T28" s="316"/>
      <c r="U28" s="316"/>
    </row>
    <row r="29" spans="1:21" ht="12.75" x14ac:dyDescent="0.2">
      <c r="A29" s="314">
        <v>43888</v>
      </c>
      <c r="B29" s="291">
        <v>20848.55</v>
      </c>
      <c r="C29" s="324">
        <v>15422</v>
      </c>
      <c r="D29" s="325">
        <v>64398.990000000005</v>
      </c>
      <c r="E29" s="325">
        <v>2214.0538999999999</v>
      </c>
      <c r="F29" s="347">
        <v>8475</v>
      </c>
      <c r="G29" s="308">
        <v>54.25</v>
      </c>
      <c r="H29" s="308">
        <v>3202.34</v>
      </c>
      <c r="I29" s="291">
        <f t="shared" si="1"/>
        <v>172.47062453942519</v>
      </c>
      <c r="J29" s="308">
        <v>17517.22</v>
      </c>
      <c r="K29" s="291">
        <v>345.63941999999997</v>
      </c>
      <c r="L29" s="291">
        <v>2315.31</v>
      </c>
      <c r="M29" s="291">
        <v>3271.7799999999997</v>
      </c>
      <c r="N29" s="291">
        <v>10724.09</v>
      </c>
      <c r="O29" s="342">
        <v>88.310611643330873</v>
      </c>
      <c r="Q29" s="317"/>
      <c r="R29" s="317"/>
      <c r="S29" s="316"/>
      <c r="T29" s="316"/>
      <c r="U29" s="316"/>
    </row>
    <row r="30" spans="1:21" ht="12.75" x14ac:dyDescent="0.2">
      <c r="A30" s="314">
        <v>43889</v>
      </c>
      <c r="B30" s="324">
        <v>17895.260000000002</v>
      </c>
      <c r="C30" s="325">
        <v>13734</v>
      </c>
      <c r="D30" s="308">
        <v>56980.380000000005</v>
      </c>
      <c r="E30" s="308">
        <v>1358.0414000000001</v>
      </c>
      <c r="F30" s="347">
        <v>4978</v>
      </c>
      <c r="G30" s="308">
        <v>6.39</v>
      </c>
      <c r="H30" s="308">
        <v>738.59</v>
      </c>
      <c r="I30" s="291">
        <f t="shared" si="1"/>
        <v>18.235566547102131</v>
      </c>
      <c r="J30" s="291">
        <v>13170.46</v>
      </c>
      <c r="K30" s="291">
        <v>151.69878</v>
      </c>
      <c r="L30" s="291">
        <v>2669</v>
      </c>
      <c r="M30" s="291">
        <v>2849.41</v>
      </c>
      <c r="N30" s="291">
        <v>7758.24</v>
      </c>
      <c r="O30" s="343">
        <v>79.271285633377389</v>
      </c>
    </row>
    <row r="31" spans="1:21" ht="12.75" x14ac:dyDescent="0.2">
      <c r="A31" s="314">
        <v>43890</v>
      </c>
      <c r="B31" s="325">
        <v>10780.11</v>
      </c>
      <c r="C31" s="308">
        <v>7568</v>
      </c>
      <c r="D31" s="324">
        <v>30315.15</v>
      </c>
      <c r="E31" s="324">
        <v>852.23469999999998</v>
      </c>
      <c r="F31" s="348">
        <v>7589</v>
      </c>
      <c r="G31" s="308">
        <v>1.68</v>
      </c>
      <c r="H31" s="291">
        <v>320.04000000000002</v>
      </c>
      <c r="I31" s="291">
        <f t="shared" si="1"/>
        <v>6.0501944847605218</v>
      </c>
      <c r="J31" s="291">
        <v>14881.51</v>
      </c>
      <c r="K31" s="291">
        <v>99.754307999999995</v>
      </c>
      <c r="L31" s="291">
        <v>2053</v>
      </c>
      <c r="M31" s="291">
        <v>1609.6</v>
      </c>
      <c r="N31" s="291">
        <v>3136.16</v>
      </c>
      <c r="O31" s="343">
        <v>100.03628447024674</v>
      </c>
    </row>
    <row r="32" spans="1:21" ht="12.75" x14ac:dyDescent="0.2">
      <c r="C32" s="324"/>
      <c r="D32" s="308"/>
      <c r="E32" s="308"/>
      <c r="F32" s="324"/>
      <c r="G32" s="308"/>
      <c r="H32" s="308"/>
      <c r="I32" s="308"/>
    </row>
    <row r="35" spans="1:16" s="327" customFormat="1" ht="12.75" x14ac:dyDescent="0.2"/>
    <row r="36" spans="1:16" ht="12.75" x14ac:dyDescent="0.2">
      <c r="A36" s="328"/>
      <c r="B36" s="325"/>
      <c r="C36" s="324"/>
      <c r="D36" s="325"/>
      <c r="E36" s="308"/>
      <c r="F36" s="324"/>
      <c r="G36" s="308"/>
      <c r="H36" s="308"/>
      <c r="I36" s="308"/>
      <c r="J36" s="308"/>
      <c r="K36" s="308"/>
      <c r="L36" s="308"/>
      <c r="M36" s="308"/>
      <c r="N36" s="308"/>
      <c r="O36" s="308"/>
      <c r="P36" s="328"/>
    </row>
    <row r="37" spans="1:16" ht="12.75" x14ac:dyDescent="0.2">
      <c r="A37" s="328"/>
      <c r="B37" s="318"/>
      <c r="C37" s="310"/>
      <c r="D37" s="318"/>
      <c r="E37" s="308"/>
      <c r="F37" s="310"/>
      <c r="G37" s="308"/>
      <c r="H37" s="308"/>
      <c r="I37" s="308"/>
      <c r="J37" s="308"/>
      <c r="K37" s="308"/>
      <c r="L37" s="308"/>
      <c r="M37" s="308"/>
      <c r="N37" s="308"/>
      <c r="O37" s="308"/>
      <c r="P37" s="328"/>
    </row>
    <row r="38" spans="1:16" ht="12.75" x14ac:dyDescent="0.2">
      <c r="A38" s="328"/>
      <c r="B38" s="318"/>
      <c r="C38" s="310"/>
      <c r="D38" s="318"/>
      <c r="E38" s="308"/>
      <c r="F38" s="310"/>
      <c r="G38" s="308"/>
      <c r="H38" s="308"/>
      <c r="I38" s="308"/>
      <c r="J38" s="308"/>
      <c r="K38" s="308"/>
      <c r="L38" s="308"/>
      <c r="M38" s="308"/>
      <c r="N38" s="308"/>
      <c r="O38" s="308"/>
      <c r="P38" s="328"/>
    </row>
    <row r="39" spans="1:16" x14ac:dyDescent="0.3">
      <c r="A39" s="328"/>
      <c r="B39" s="318"/>
      <c r="C39" s="310"/>
      <c r="D39" s="319"/>
      <c r="E39" s="308"/>
      <c r="F39" s="310"/>
      <c r="G39" s="308"/>
      <c r="H39" s="308"/>
      <c r="I39" s="308"/>
      <c r="J39" s="308"/>
      <c r="K39" s="308"/>
      <c r="L39" s="308"/>
      <c r="M39" s="308"/>
      <c r="N39" s="308"/>
      <c r="O39" s="308"/>
      <c r="P39" s="328"/>
    </row>
    <row r="40" spans="1:16" x14ac:dyDescent="0.3">
      <c r="A40" s="328"/>
      <c r="B40" s="318"/>
      <c r="C40" s="310"/>
      <c r="D40" s="318"/>
      <c r="E40" s="308"/>
      <c r="F40" s="310"/>
      <c r="G40" s="308"/>
      <c r="H40" s="308"/>
      <c r="I40" s="308"/>
      <c r="J40" s="308"/>
      <c r="K40" s="308"/>
      <c r="L40" s="308"/>
      <c r="M40" s="308"/>
      <c r="N40" s="308"/>
      <c r="O40" s="308"/>
      <c r="P40" s="328"/>
    </row>
    <row r="41" spans="1:16" x14ac:dyDescent="0.3">
      <c r="A41" s="328"/>
      <c r="B41" s="318"/>
      <c r="C41" s="310"/>
      <c r="D41" s="319"/>
      <c r="E41" s="308"/>
      <c r="F41" s="310"/>
      <c r="G41" s="308"/>
      <c r="H41" s="308"/>
      <c r="I41" s="308"/>
      <c r="J41" s="308"/>
      <c r="K41" s="308"/>
      <c r="L41" s="308"/>
      <c r="M41" s="308"/>
      <c r="N41" s="308"/>
      <c r="O41" s="308"/>
      <c r="P41" s="328"/>
    </row>
    <row r="42" spans="1:16" x14ac:dyDescent="0.3">
      <c r="A42" s="328"/>
      <c r="B42" s="318"/>
      <c r="C42" s="310"/>
      <c r="D42" s="319"/>
      <c r="E42" s="308"/>
      <c r="F42" s="310"/>
      <c r="G42" s="308"/>
      <c r="H42" s="308"/>
      <c r="I42" s="308"/>
      <c r="J42" s="308"/>
      <c r="K42" s="308"/>
      <c r="L42" s="308"/>
      <c r="M42" s="308"/>
      <c r="N42" s="308"/>
      <c r="O42" s="308"/>
      <c r="P42" s="328"/>
    </row>
    <row r="43" spans="1:16" x14ac:dyDescent="0.3">
      <c r="A43" s="328"/>
      <c r="B43" s="318"/>
      <c r="C43" s="310"/>
      <c r="D43" s="318"/>
      <c r="E43" s="308"/>
      <c r="F43" s="310"/>
      <c r="G43" s="308"/>
      <c r="H43" s="308"/>
      <c r="I43" s="308"/>
      <c r="J43" s="308"/>
      <c r="K43" s="308"/>
      <c r="L43" s="308"/>
      <c r="M43" s="308"/>
      <c r="N43" s="308"/>
      <c r="O43" s="308"/>
      <c r="P43" s="328"/>
    </row>
    <row r="44" spans="1:16" x14ac:dyDescent="0.3">
      <c r="A44" s="328"/>
      <c r="B44" s="318"/>
      <c r="C44" s="310"/>
      <c r="D44" s="318"/>
      <c r="E44" s="308"/>
      <c r="F44" s="310"/>
      <c r="G44" s="308"/>
      <c r="H44" s="308"/>
      <c r="I44" s="308"/>
      <c r="J44" s="308"/>
      <c r="K44" s="308"/>
      <c r="L44" s="308"/>
      <c r="M44" s="308"/>
      <c r="N44" s="308"/>
      <c r="O44" s="308"/>
      <c r="P44" s="328"/>
    </row>
    <row r="45" spans="1:16" x14ac:dyDescent="0.3">
      <c r="A45" s="328"/>
      <c r="B45" s="318"/>
      <c r="C45" s="320"/>
      <c r="D45" s="318"/>
      <c r="E45" s="308"/>
      <c r="F45" s="310"/>
      <c r="G45" s="308"/>
      <c r="H45" s="308"/>
      <c r="I45" s="308"/>
      <c r="J45" s="308"/>
      <c r="K45" s="308"/>
      <c r="L45" s="308"/>
      <c r="M45" s="308"/>
      <c r="N45" s="308"/>
      <c r="O45" s="308"/>
      <c r="P45" s="328"/>
    </row>
    <row r="46" spans="1:16" x14ac:dyDescent="0.3">
      <c r="A46" s="328"/>
      <c r="B46" s="318"/>
      <c r="C46" s="320"/>
      <c r="D46" s="318"/>
      <c r="E46" s="308"/>
      <c r="F46" s="310"/>
      <c r="G46" s="308"/>
      <c r="H46" s="308"/>
      <c r="I46" s="308"/>
      <c r="J46" s="308"/>
      <c r="K46" s="308"/>
      <c r="L46" s="308"/>
      <c r="M46" s="308"/>
      <c r="N46" s="308"/>
      <c r="O46" s="308"/>
      <c r="P46" s="328"/>
    </row>
    <row r="47" spans="1:16" x14ac:dyDescent="0.3">
      <c r="A47" s="328"/>
      <c r="B47" s="318"/>
      <c r="C47" s="320"/>
      <c r="D47" s="318"/>
      <c r="E47" s="308"/>
      <c r="F47" s="310"/>
      <c r="G47" s="308"/>
      <c r="H47" s="308"/>
      <c r="I47" s="308"/>
      <c r="J47" s="308"/>
      <c r="K47" s="308"/>
      <c r="L47" s="308"/>
      <c r="M47" s="308"/>
      <c r="N47" s="308"/>
      <c r="O47" s="308"/>
      <c r="P47" s="328"/>
    </row>
    <row r="48" spans="1:16" x14ac:dyDescent="0.3">
      <c r="A48" s="328"/>
      <c r="B48" s="318"/>
      <c r="C48" s="320"/>
      <c r="D48" s="319"/>
      <c r="E48" s="308"/>
      <c r="F48" s="310"/>
      <c r="G48" s="308"/>
      <c r="H48" s="308"/>
      <c r="I48" s="308"/>
      <c r="J48" s="308"/>
      <c r="K48" s="308"/>
      <c r="L48" s="308"/>
      <c r="M48" s="308"/>
      <c r="N48" s="308"/>
      <c r="O48" s="308"/>
      <c r="P48" s="328"/>
    </row>
    <row r="49" spans="1:16" x14ac:dyDescent="0.3">
      <c r="A49" s="328"/>
      <c r="B49" s="318"/>
      <c r="C49" s="321"/>
      <c r="D49" s="319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28"/>
    </row>
    <row r="50" spans="1:16" x14ac:dyDescent="0.3">
      <c r="A50" s="328"/>
      <c r="B50" s="318"/>
      <c r="C50" s="318"/>
      <c r="D50" s="31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28"/>
    </row>
    <row r="51" spans="1:16" x14ac:dyDescent="0.3">
      <c r="A51" s="328"/>
      <c r="B51" s="318"/>
      <c r="C51" s="318"/>
      <c r="D51" s="31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28"/>
    </row>
    <row r="52" spans="1:16" x14ac:dyDescent="0.3">
      <c r="A52" s="328"/>
      <c r="B52" s="318"/>
      <c r="C52" s="318"/>
      <c r="D52" s="31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28"/>
    </row>
    <row r="53" spans="1:16" x14ac:dyDescent="0.3">
      <c r="A53" s="328"/>
      <c r="B53" s="318"/>
      <c r="C53" s="318"/>
      <c r="D53" s="31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28"/>
    </row>
    <row r="54" spans="1:16" x14ac:dyDescent="0.3">
      <c r="A54" s="328"/>
      <c r="B54" s="318"/>
      <c r="C54" s="318"/>
      <c r="D54" s="31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28"/>
    </row>
    <row r="55" spans="1:16" x14ac:dyDescent="0.3">
      <c r="A55" s="328"/>
      <c r="B55" s="318"/>
      <c r="C55" s="318"/>
      <c r="D55" s="319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28"/>
    </row>
    <row r="56" spans="1:16" x14ac:dyDescent="0.3">
      <c r="A56" s="328"/>
      <c r="B56" s="318"/>
      <c r="C56" s="318"/>
      <c r="D56" s="319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28"/>
    </row>
    <row r="57" spans="1:16" x14ac:dyDescent="0.3">
      <c r="A57" s="328"/>
      <c r="B57" s="318"/>
      <c r="C57" s="318"/>
      <c r="D57" s="31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28"/>
    </row>
    <row r="58" spans="1:16" x14ac:dyDescent="0.3">
      <c r="A58" s="328"/>
      <c r="B58" s="318"/>
      <c r="C58" s="318"/>
      <c r="D58" s="31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28"/>
    </row>
    <row r="59" spans="1:16" x14ac:dyDescent="0.3">
      <c r="A59" s="328"/>
      <c r="B59" s="318"/>
      <c r="C59" s="318"/>
      <c r="D59" s="31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28"/>
    </row>
    <row r="60" spans="1:16" x14ac:dyDescent="0.3">
      <c r="A60" s="328"/>
      <c r="B60" s="318"/>
      <c r="C60" s="318"/>
      <c r="D60" s="31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28"/>
    </row>
    <row r="61" spans="1:16" x14ac:dyDescent="0.3">
      <c r="A61" s="328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28"/>
    </row>
    <row r="62" spans="1:16" x14ac:dyDescent="0.3">
      <c r="A62" s="328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28"/>
    </row>
  </sheetData>
  <mergeCells count="5">
    <mergeCell ref="B1:D1"/>
    <mergeCell ref="E1:F1"/>
    <mergeCell ref="G1:J1"/>
    <mergeCell ref="K1:N1"/>
    <mergeCell ref="O1:O2"/>
  </mergeCells>
  <conditionalFormatting sqref="F5">
    <cfRule type="cellIs" dxfId="140" priority="26" operator="greaterThan">
      <formula>$D$30</formula>
    </cfRule>
  </conditionalFormatting>
  <conditionalFormatting sqref="F6">
    <cfRule type="cellIs" dxfId="139" priority="25" operator="greaterThan">
      <formula>$D$31</formula>
    </cfRule>
  </conditionalFormatting>
  <conditionalFormatting sqref="CA35:XFD35">
    <cfRule type="cellIs" dxfId="138" priority="7" operator="greaterThan">
      <formula>1.1</formula>
    </cfRule>
    <cfRule type="cellIs" dxfId="137" priority="8" operator="lessThan">
      <formula>0.9</formula>
    </cfRule>
    <cfRule type="cellIs" dxfId="136" priority="9" operator="greaterThan">
      <formula>1</formula>
    </cfRule>
    <cfRule type="cellIs" dxfId="135" priority="10" operator="between">
      <formula>1</formula>
      <formula>0.9</formula>
    </cfRule>
  </conditionalFormatting>
  <conditionalFormatting sqref="F8">
    <cfRule type="cellIs" dxfId="134" priority="227" operator="greaterThan">
      <formula>$T$3</formula>
    </cfRule>
  </conditionalFormatting>
  <conditionalFormatting sqref="R7:AE7">
    <cfRule type="cellIs" dxfId="133" priority="5" operator="lessThan">
      <formula>0</formula>
    </cfRule>
    <cfRule type="cellIs" dxfId="132" priority="6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O16"/>
  <sheetViews>
    <sheetView workbookViewId="0">
      <selection activeCell="H7" sqref="H7"/>
    </sheetView>
  </sheetViews>
  <sheetFormatPr baseColWidth="10" defaultColWidth="8.88671875" defaultRowHeight="14.4" x14ac:dyDescent="0.3"/>
  <cols>
    <col min="2" max="4" width="15.6640625" customWidth="1"/>
    <col min="5" max="5" width="14.44140625" customWidth="1"/>
    <col min="7" max="7" width="15.6640625" customWidth="1"/>
    <col min="11" max="13" width="11.5546875" bestFit="1" customWidth="1"/>
    <col min="14" max="14" width="6.88671875" customWidth="1"/>
    <col min="15" max="15" width="11.33203125" bestFit="1" customWidth="1"/>
  </cols>
  <sheetData>
    <row r="1" spans="2:15" ht="15.75" thickBot="1" x14ac:dyDescent="0.3"/>
    <row r="2" spans="2:15" ht="45.75" thickBot="1" x14ac:dyDescent="0.3">
      <c r="B2" s="266" t="s">
        <v>195</v>
      </c>
      <c r="G2" s="267" t="s">
        <v>113</v>
      </c>
      <c r="J2" s="266" t="s">
        <v>195</v>
      </c>
      <c r="O2" s="267" t="s">
        <v>113</v>
      </c>
    </row>
    <row r="3" spans="2:15" ht="15.75" thickBot="1" x14ac:dyDescent="0.3">
      <c r="B3" s="268" t="s">
        <v>196</v>
      </c>
      <c r="C3" s="269" t="s">
        <v>197</v>
      </c>
      <c r="D3" s="270" t="s">
        <v>198</v>
      </c>
      <c r="E3" s="271" t="s">
        <v>199</v>
      </c>
      <c r="G3" s="272" t="s">
        <v>30</v>
      </c>
      <c r="J3" s="268" t="s">
        <v>196</v>
      </c>
      <c r="K3" s="269" t="s">
        <v>197</v>
      </c>
      <c r="L3" s="270" t="s">
        <v>198</v>
      </c>
      <c r="M3" s="271" t="s">
        <v>199</v>
      </c>
      <c r="O3" s="272" t="s">
        <v>30</v>
      </c>
    </row>
    <row r="4" spans="2:15" ht="15" x14ac:dyDescent="0.25">
      <c r="B4" s="273" t="s">
        <v>200</v>
      </c>
      <c r="C4" s="274">
        <f>(252.04-188.92)*1000</f>
        <v>63120.000000000007</v>
      </c>
      <c r="D4" s="275">
        <f>1485*100</f>
        <v>148500</v>
      </c>
      <c r="E4" s="276">
        <f>C4+D4</f>
        <v>211620</v>
      </c>
      <c r="G4" s="277">
        <v>440</v>
      </c>
      <c r="J4" s="273" t="s">
        <v>200</v>
      </c>
      <c r="K4" s="274">
        <f>(252.04-188.92)*1000</f>
        <v>63120.000000000007</v>
      </c>
      <c r="L4" s="275">
        <f>1485*100</f>
        <v>148500</v>
      </c>
      <c r="M4" s="276">
        <f>K4+L4</f>
        <v>211620</v>
      </c>
      <c r="O4" s="277">
        <v>440</v>
      </c>
    </row>
    <row r="5" spans="2:15" ht="15" x14ac:dyDescent="0.25">
      <c r="B5" s="278" t="s">
        <v>201</v>
      </c>
      <c r="C5" s="279">
        <f>(301.24-236.37)*1000</f>
        <v>64870.000000000007</v>
      </c>
      <c r="D5" s="280">
        <f>1442*100</f>
        <v>144200</v>
      </c>
      <c r="E5" s="281">
        <f>C5+D5</f>
        <v>209070</v>
      </c>
      <c r="G5" s="282">
        <f>397+30</f>
        <v>427</v>
      </c>
      <c r="J5" s="278" t="s">
        <v>201</v>
      </c>
      <c r="K5" s="279">
        <f>(301.24-236.37)*1000</f>
        <v>64870.000000000007</v>
      </c>
      <c r="L5" s="280">
        <f>1442*100</f>
        <v>144200</v>
      </c>
      <c r="M5" s="281">
        <f>K5+L5</f>
        <v>209070</v>
      </c>
      <c r="O5" s="282">
        <f>397+30</f>
        <v>427</v>
      </c>
    </row>
    <row r="6" spans="2:15" ht="15" x14ac:dyDescent="0.25">
      <c r="B6" s="278" t="s">
        <v>202</v>
      </c>
      <c r="C6" s="279">
        <f>(369.54-312.3)*1000</f>
        <v>57240.000000000007</v>
      </c>
      <c r="D6" s="280">
        <f>(1936-614)*100</f>
        <v>132200</v>
      </c>
      <c r="E6" s="281">
        <f>C6+D6</f>
        <v>189440</v>
      </c>
      <c r="G6" s="282">
        <v>521</v>
      </c>
      <c r="J6" s="278" t="s">
        <v>202</v>
      </c>
      <c r="K6" s="279">
        <f>(369.54-312.3)*1000</f>
        <v>57240.000000000007</v>
      </c>
      <c r="L6" s="280">
        <f>(1936-614)*100</f>
        <v>132200</v>
      </c>
      <c r="M6" s="281">
        <f>K6+L6</f>
        <v>189440</v>
      </c>
      <c r="O6" s="282">
        <v>521</v>
      </c>
    </row>
    <row r="7" spans="2:15" ht="15.75" thickBot="1" x14ac:dyDescent="0.3">
      <c r="B7" s="278" t="s">
        <v>203</v>
      </c>
      <c r="C7" s="279">
        <f>(376.33-369.54)*1000</f>
        <v>6789.9999999999636</v>
      </c>
      <c r="D7" s="280">
        <f>(2012-1936)*100</f>
        <v>7600</v>
      </c>
      <c r="E7" s="281">
        <f>C7+D7</f>
        <v>14389.999999999964</v>
      </c>
      <c r="G7" s="282">
        <v>39</v>
      </c>
      <c r="J7" s="283" t="s">
        <v>203</v>
      </c>
      <c r="K7" s="284">
        <f>(376.33-369.54)*1000</f>
        <v>6789.9999999999636</v>
      </c>
      <c r="L7" s="285">
        <f>(2012-1936)*100</f>
        <v>7600</v>
      </c>
      <c r="M7" s="286">
        <f>K7+L7</f>
        <v>14389.999999999964</v>
      </c>
      <c r="O7" s="644">
        <v>39</v>
      </c>
    </row>
    <row r="8" spans="2:15" ht="15.75" thickBot="1" x14ac:dyDescent="0.3">
      <c r="B8" s="278" t="s">
        <v>204</v>
      </c>
      <c r="C8" s="279"/>
      <c r="D8" s="280"/>
      <c r="E8" s="281"/>
      <c r="G8" s="282"/>
      <c r="J8" s="271" t="s">
        <v>352</v>
      </c>
      <c r="K8" s="645">
        <f>SUM(K4:K7)</f>
        <v>192020</v>
      </c>
      <c r="L8" s="645">
        <f t="shared" ref="L8:O8" si="0">SUM(L4:L7)</f>
        <v>432500</v>
      </c>
      <c r="M8" s="645">
        <f t="shared" si="0"/>
        <v>624520</v>
      </c>
      <c r="O8" s="645">
        <f t="shared" si="0"/>
        <v>1427</v>
      </c>
    </row>
    <row r="9" spans="2:15" ht="15" x14ac:dyDescent="0.25">
      <c r="B9" s="278" t="s">
        <v>205</v>
      </c>
      <c r="C9" s="279"/>
      <c r="D9" s="280"/>
      <c r="E9" s="281"/>
      <c r="G9" s="282"/>
    </row>
    <row r="10" spans="2:15" ht="15" x14ac:dyDescent="0.25">
      <c r="B10" s="278" t="s">
        <v>206</v>
      </c>
      <c r="C10" s="279"/>
      <c r="D10" s="280"/>
      <c r="E10" s="281"/>
      <c r="G10" s="282"/>
    </row>
    <row r="11" spans="2:15" ht="15" x14ac:dyDescent="0.25">
      <c r="B11" s="278" t="s">
        <v>207</v>
      </c>
      <c r="C11" s="279"/>
      <c r="D11" s="280"/>
      <c r="E11" s="281"/>
      <c r="G11" s="282"/>
    </row>
    <row r="12" spans="2:15" ht="15" x14ac:dyDescent="0.25">
      <c r="B12" s="278" t="s">
        <v>208</v>
      </c>
      <c r="C12" s="279"/>
      <c r="D12" s="280"/>
      <c r="E12" s="281"/>
      <c r="G12" s="282"/>
    </row>
    <row r="13" spans="2:15" ht="15" x14ac:dyDescent="0.25">
      <c r="B13" s="278" t="s">
        <v>209</v>
      </c>
      <c r="C13" s="279"/>
      <c r="D13" s="280"/>
      <c r="E13" s="281"/>
      <c r="G13" s="282"/>
    </row>
    <row r="14" spans="2:15" ht="15" x14ac:dyDescent="0.25">
      <c r="B14" s="278" t="s">
        <v>210</v>
      </c>
      <c r="C14" s="279"/>
      <c r="D14" s="280"/>
      <c r="E14" s="281"/>
      <c r="G14" s="282"/>
    </row>
    <row r="15" spans="2:15" ht="15.75" thickBot="1" x14ac:dyDescent="0.3">
      <c r="B15" s="283" t="s">
        <v>211</v>
      </c>
      <c r="C15" s="284"/>
      <c r="D15" s="285"/>
      <c r="E15" s="286"/>
      <c r="G15" s="282"/>
    </row>
    <row r="16" spans="2:15" ht="15.75" thickBot="1" x14ac:dyDescent="0.3">
      <c r="B16" s="287" t="s">
        <v>212</v>
      </c>
      <c r="C16" s="288">
        <f>SUM(C4:C15)</f>
        <v>192020</v>
      </c>
      <c r="D16" s="289">
        <f>SUM(D4:D15)</f>
        <v>432500</v>
      </c>
      <c r="E16" s="290">
        <f>SUM(E4:E15)</f>
        <v>624520</v>
      </c>
      <c r="G16" s="290">
        <f>SUM(G4:G15)</f>
        <v>1427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WML92"/>
  <sheetViews>
    <sheetView showGridLines="0" zoomScale="70" zoomScaleNormal="70" workbookViewId="0">
      <pane xSplit="6" topLeftCell="CJ1" activePane="topRight" state="frozen"/>
      <selection pane="topRight" activeCell="CT6" sqref="CT6"/>
    </sheetView>
  </sheetViews>
  <sheetFormatPr baseColWidth="10" defaultColWidth="9.109375" defaultRowHeight="15.6" outlineLevelRow="1" outlineLevelCol="1" x14ac:dyDescent="0.3"/>
  <cols>
    <col min="1" max="1" width="5.33203125" style="1" customWidth="1"/>
    <col min="2" max="2" width="28.33203125" style="1" customWidth="1"/>
    <col min="3" max="3" width="43.44140625" style="2" customWidth="1"/>
    <col min="4" max="4" width="6" style="2" hidden="1" customWidth="1"/>
    <col min="5" max="5" width="22.5546875" style="164" customWidth="1"/>
    <col min="6" max="6" width="15.6640625" style="165" customWidth="1"/>
    <col min="7" max="7" width="15.6640625" style="1" customWidth="1"/>
    <col min="8" max="15" width="15.6640625" style="1" hidden="1" customWidth="1" outlineLevel="1"/>
    <col min="16" max="16" width="15.6640625" style="1" customWidth="1" collapsed="1"/>
    <col min="17" max="24" width="15.6640625" style="1" hidden="1" customWidth="1" outlineLevel="1"/>
    <col min="25" max="25" width="15.6640625" style="1" customWidth="1" collapsed="1"/>
    <col min="26" max="33" width="15.6640625" style="1" hidden="1" customWidth="1" outlineLevel="1"/>
    <col min="34" max="34" width="15.6640625" style="1" customWidth="1" collapsed="1"/>
    <col min="35" max="42" width="15.6640625" style="1" hidden="1" customWidth="1" outlineLevel="1"/>
    <col min="43" max="43" width="15.6640625" style="1" customWidth="1" collapsed="1"/>
    <col min="44" max="51" width="15.6640625" style="1" hidden="1" customWidth="1" outlineLevel="1"/>
    <col min="52" max="52" width="15.6640625" style="1" customWidth="1" collapsed="1"/>
    <col min="53" max="60" width="15.6640625" style="1" hidden="1" customWidth="1" outlineLevel="1"/>
    <col min="61" max="61" width="15.6640625" style="1" customWidth="1" collapsed="1"/>
    <col min="62" max="69" width="15.6640625" style="1" hidden="1" customWidth="1" outlineLevel="1"/>
    <col min="70" max="70" width="15.6640625" style="1" customWidth="1" collapsed="1"/>
    <col min="71" max="78" width="15.6640625" style="1" hidden="1" customWidth="1" outlineLevel="1"/>
    <col min="79" max="79" width="12.88671875" style="1" customWidth="1" collapsed="1"/>
    <col min="80" max="87" width="15.6640625" style="1" customWidth="1" outlineLevel="1"/>
    <col min="88" max="88" width="20.5546875" style="1" customWidth="1"/>
    <col min="89" max="96" width="15.6640625" style="1" customWidth="1" outlineLevel="1"/>
    <col min="97" max="16384" width="9.109375" style="1"/>
  </cols>
  <sheetData>
    <row r="1" spans="1:396" ht="16.5" thickBot="1" x14ac:dyDescent="0.3">
      <c r="A1" s="1">
        <v>1</v>
      </c>
      <c r="B1" s="1">
        <v>2</v>
      </c>
      <c r="C1" s="2">
        <v>5</v>
      </c>
      <c r="E1" s="1">
        <v>6</v>
      </c>
      <c r="F1" s="3">
        <v>0.1</v>
      </c>
      <c r="G1" s="4">
        <v>27</v>
      </c>
      <c r="H1" s="4">
        <v>28</v>
      </c>
      <c r="I1" s="4">
        <v>29</v>
      </c>
      <c r="J1" s="4">
        <v>30</v>
      </c>
      <c r="K1" s="4">
        <v>31</v>
      </c>
      <c r="L1" s="4">
        <v>32</v>
      </c>
      <c r="M1" s="4">
        <v>33</v>
      </c>
      <c r="N1" s="4">
        <v>34</v>
      </c>
      <c r="O1" s="4">
        <v>35</v>
      </c>
      <c r="P1" s="4">
        <v>36</v>
      </c>
      <c r="Q1" s="4">
        <v>28</v>
      </c>
      <c r="R1" s="4">
        <v>29</v>
      </c>
      <c r="S1" s="4">
        <v>30</v>
      </c>
      <c r="T1" s="4">
        <v>31</v>
      </c>
      <c r="U1" s="4">
        <v>32</v>
      </c>
      <c r="V1" s="4">
        <v>33</v>
      </c>
      <c r="W1" s="4">
        <v>34</v>
      </c>
      <c r="X1" s="4">
        <v>35</v>
      </c>
      <c r="Y1" s="4">
        <v>45</v>
      </c>
      <c r="Z1" s="4">
        <v>46</v>
      </c>
      <c r="AA1" s="4">
        <v>47</v>
      </c>
      <c r="AB1" s="4">
        <v>48</v>
      </c>
      <c r="AC1" s="4">
        <v>49</v>
      </c>
      <c r="AD1" s="4">
        <v>50</v>
      </c>
      <c r="AE1" s="4">
        <v>51</v>
      </c>
      <c r="AF1" s="4">
        <v>52</v>
      </c>
      <c r="AG1" s="4">
        <v>53</v>
      </c>
      <c r="AH1" s="4">
        <v>54</v>
      </c>
      <c r="AI1" s="4">
        <v>46</v>
      </c>
      <c r="AJ1" s="4">
        <v>47</v>
      </c>
      <c r="AK1" s="4">
        <v>48</v>
      </c>
      <c r="AL1" s="4">
        <v>49</v>
      </c>
      <c r="AM1" s="4">
        <v>50</v>
      </c>
      <c r="AN1" s="4">
        <v>51</v>
      </c>
      <c r="AO1" s="4">
        <v>52</v>
      </c>
      <c r="AP1" s="4">
        <v>53</v>
      </c>
      <c r="AQ1" s="4">
        <v>63</v>
      </c>
      <c r="AR1" s="4">
        <v>63</v>
      </c>
      <c r="AS1" s="4">
        <v>63</v>
      </c>
      <c r="AT1" s="4">
        <v>63</v>
      </c>
      <c r="AU1" s="4">
        <v>63</v>
      </c>
      <c r="AV1" s="4">
        <v>63</v>
      </c>
      <c r="AW1" s="4">
        <v>63</v>
      </c>
      <c r="AX1" s="4">
        <v>63</v>
      </c>
      <c r="AY1" s="4">
        <v>63</v>
      </c>
      <c r="AZ1" s="4"/>
      <c r="BA1" s="4">
        <v>63</v>
      </c>
      <c r="BB1" s="4">
        <v>63</v>
      </c>
      <c r="BC1" s="4">
        <v>63</v>
      </c>
      <c r="BD1" s="4">
        <v>63</v>
      </c>
      <c r="BE1" s="4">
        <v>63</v>
      </c>
      <c r="BF1" s="4">
        <v>63</v>
      </c>
      <c r="BG1" s="4">
        <v>63</v>
      </c>
      <c r="BH1" s="4">
        <v>63</v>
      </c>
      <c r="BI1" s="4"/>
      <c r="BJ1" s="4">
        <v>63</v>
      </c>
      <c r="BK1" s="4">
        <v>63</v>
      </c>
      <c r="BL1" s="4">
        <v>63</v>
      </c>
      <c r="BM1" s="4">
        <v>63</v>
      </c>
      <c r="BN1" s="4">
        <v>63</v>
      </c>
      <c r="BO1" s="4">
        <v>63</v>
      </c>
      <c r="BP1" s="4">
        <v>63</v>
      </c>
      <c r="BQ1" s="4">
        <v>63</v>
      </c>
      <c r="BR1" s="4">
        <v>90</v>
      </c>
      <c r="BS1" s="4">
        <v>63</v>
      </c>
      <c r="BT1" s="4">
        <v>63</v>
      </c>
      <c r="BU1" s="4">
        <v>63</v>
      </c>
      <c r="BV1" s="4">
        <v>63</v>
      </c>
      <c r="BW1" s="4">
        <v>63</v>
      </c>
      <c r="BX1" s="4">
        <v>63</v>
      </c>
      <c r="BY1" s="4">
        <v>63</v>
      </c>
      <c r="BZ1" s="4">
        <v>63</v>
      </c>
      <c r="CA1" s="4">
        <v>99</v>
      </c>
      <c r="CB1" s="4">
        <v>63</v>
      </c>
      <c r="CC1" s="4">
        <v>63</v>
      </c>
      <c r="CD1" s="4">
        <v>63</v>
      </c>
      <c r="CE1" s="4">
        <v>63</v>
      </c>
      <c r="CF1" s="4">
        <v>63</v>
      </c>
      <c r="CG1" s="4">
        <v>63</v>
      </c>
      <c r="CH1" s="4">
        <v>63</v>
      </c>
      <c r="CI1" s="4">
        <v>63</v>
      </c>
      <c r="CJ1" s="4"/>
      <c r="CK1" s="4">
        <v>63</v>
      </c>
      <c r="CL1" s="4">
        <v>63</v>
      </c>
      <c r="CM1" s="4">
        <v>63</v>
      </c>
      <c r="CN1" s="4">
        <v>63</v>
      </c>
      <c r="CO1" s="4">
        <v>63</v>
      </c>
      <c r="CP1" s="4">
        <v>63</v>
      </c>
      <c r="CQ1" s="4">
        <v>63</v>
      </c>
      <c r="CR1" s="4">
        <v>63</v>
      </c>
      <c r="CS1" s="4">
        <v>117</v>
      </c>
      <c r="CT1" s="4">
        <v>118</v>
      </c>
      <c r="CU1" s="4">
        <v>119</v>
      </c>
      <c r="CV1" s="4">
        <v>120</v>
      </c>
      <c r="CW1" s="4">
        <v>121</v>
      </c>
      <c r="CX1" s="4">
        <v>122</v>
      </c>
      <c r="CY1" s="4">
        <v>123</v>
      </c>
      <c r="CZ1" s="4">
        <v>124</v>
      </c>
      <c r="DA1" s="4">
        <v>125</v>
      </c>
      <c r="DB1" s="4">
        <v>126</v>
      </c>
      <c r="DC1" s="4">
        <v>127</v>
      </c>
      <c r="DD1" s="4">
        <v>128</v>
      </c>
      <c r="DE1" s="4">
        <v>129</v>
      </c>
      <c r="DF1" s="4">
        <v>130</v>
      </c>
      <c r="DG1" s="4">
        <v>131</v>
      </c>
      <c r="DH1" s="4">
        <v>132</v>
      </c>
      <c r="DI1" s="4">
        <v>133</v>
      </c>
      <c r="DJ1" s="4">
        <v>134</v>
      </c>
      <c r="DK1" s="4">
        <v>135</v>
      </c>
      <c r="DL1" s="4">
        <v>136</v>
      </c>
      <c r="DM1" s="4">
        <v>137</v>
      </c>
      <c r="DN1" s="4">
        <v>138</v>
      </c>
      <c r="DO1" s="4">
        <v>139</v>
      </c>
      <c r="DP1" s="4">
        <v>140</v>
      </c>
      <c r="DQ1" s="4">
        <v>141</v>
      </c>
      <c r="DR1" s="4">
        <v>142</v>
      </c>
      <c r="DS1" s="4">
        <v>143</v>
      </c>
      <c r="DT1" s="4">
        <v>144</v>
      </c>
      <c r="DU1" s="4">
        <v>145</v>
      </c>
      <c r="DV1" s="4">
        <v>146</v>
      </c>
      <c r="DW1" s="4">
        <v>147</v>
      </c>
      <c r="DX1" s="4">
        <v>148</v>
      </c>
      <c r="DY1" s="4">
        <v>149</v>
      </c>
      <c r="DZ1" s="4">
        <v>150</v>
      </c>
      <c r="EA1" s="4">
        <v>151</v>
      </c>
      <c r="EB1" s="4">
        <v>152</v>
      </c>
      <c r="EC1" s="4">
        <v>153</v>
      </c>
      <c r="ED1" s="4">
        <v>154</v>
      </c>
      <c r="EE1" s="4">
        <v>155</v>
      </c>
      <c r="EF1" s="4">
        <v>156</v>
      </c>
      <c r="EG1" s="4">
        <v>157</v>
      </c>
      <c r="EH1" s="4">
        <v>158</v>
      </c>
      <c r="EI1" s="4">
        <v>159</v>
      </c>
      <c r="EJ1" s="4">
        <v>160</v>
      </c>
      <c r="EK1" s="4">
        <v>161</v>
      </c>
      <c r="EL1" s="4">
        <v>162</v>
      </c>
      <c r="EM1" s="4">
        <v>163</v>
      </c>
      <c r="EN1" s="4">
        <v>164</v>
      </c>
      <c r="EO1" s="4">
        <v>165</v>
      </c>
      <c r="EP1" s="4">
        <v>166</v>
      </c>
      <c r="EQ1" s="4">
        <v>167</v>
      </c>
      <c r="ER1" s="4">
        <v>168</v>
      </c>
      <c r="ES1" s="4">
        <v>169</v>
      </c>
      <c r="ET1" s="4">
        <v>170</v>
      </c>
      <c r="EU1" s="4">
        <v>171</v>
      </c>
      <c r="EV1" s="4">
        <v>172</v>
      </c>
      <c r="EW1" s="4">
        <v>173</v>
      </c>
      <c r="EX1" s="4">
        <v>174</v>
      </c>
      <c r="EY1" s="4">
        <v>175</v>
      </c>
      <c r="EZ1" s="4">
        <v>176</v>
      </c>
      <c r="FA1" s="4">
        <v>177</v>
      </c>
      <c r="FB1" s="4">
        <v>178</v>
      </c>
      <c r="FC1" s="4">
        <v>179</v>
      </c>
      <c r="FD1" s="4">
        <v>180</v>
      </c>
      <c r="FE1" s="4">
        <v>181</v>
      </c>
      <c r="FF1" s="4">
        <v>182</v>
      </c>
      <c r="FG1" s="4">
        <v>183</v>
      </c>
      <c r="FH1" s="4">
        <v>184</v>
      </c>
      <c r="FI1" s="4">
        <v>185</v>
      </c>
      <c r="FJ1" s="4">
        <v>186</v>
      </c>
      <c r="FK1" s="4">
        <v>187</v>
      </c>
      <c r="FL1" s="4">
        <v>188</v>
      </c>
      <c r="FM1" s="4">
        <v>189</v>
      </c>
      <c r="FN1" s="4">
        <v>190</v>
      </c>
      <c r="FO1" s="4">
        <v>191</v>
      </c>
      <c r="FP1" s="4">
        <v>192</v>
      </c>
      <c r="FQ1" s="4">
        <v>193</v>
      </c>
      <c r="FR1" s="4">
        <v>194</v>
      </c>
      <c r="FS1" s="4">
        <v>195</v>
      </c>
      <c r="FT1" s="4">
        <v>196</v>
      </c>
      <c r="FU1" s="4">
        <v>197</v>
      </c>
      <c r="FV1" s="4">
        <v>198</v>
      </c>
      <c r="FW1" s="4">
        <v>199</v>
      </c>
      <c r="FX1" s="4">
        <v>200</v>
      </c>
      <c r="FY1" s="4">
        <v>201</v>
      </c>
      <c r="FZ1" s="4">
        <v>202</v>
      </c>
      <c r="GA1" s="4">
        <v>203</v>
      </c>
      <c r="GB1" s="4">
        <v>204</v>
      </c>
      <c r="GC1" s="4">
        <v>205</v>
      </c>
      <c r="GD1" s="4">
        <v>206</v>
      </c>
      <c r="GE1" s="4">
        <v>207</v>
      </c>
      <c r="GF1" s="4">
        <v>208</v>
      </c>
      <c r="GG1" s="4">
        <v>209</v>
      </c>
      <c r="GH1" s="4">
        <v>210</v>
      </c>
      <c r="GI1" s="4">
        <v>211</v>
      </c>
      <c r="GJ1" s="4">
        <v>212</v>
      </c>
      <c r="GK1" s="4">
        <v>213</v>
      </c>
      <c r="GL1" s="4">
        <v>214</v>
      </c>
      <c r="GM1" s="4">
        <v>215</v>
      </c>
      <c r="GN1" s="4">
        <v>216</v>
      </c>
      <c r="GO1" s="4">
        <v>217</v>
      </c>
      <c r="GP1" s="4">
        <v>218</v>
      </c>
      <c r="GQ1" s="4">
        <v>219</v>
      </c>
      <c r="GR1" s="4">
        <v>220</v>
      </c>
      <c r="GS1" s="4">
        <v>221</v>
      </c>
      <c r="GT1" s="4">
        <v>222</v>
      </c>
      <c r="GU1" s="4">
        <v>223</v>
      </c>
      <c r="GV1" s="4">
        <v>224</v>
      </c>
      <c r="GW1" s="4">
        <v>225</v>
      </c>
      <c r="GX1" s="4">
        <v>226</v>
      </c>
      <c r="GY1" s="4">
        <v>227</v>
      </c>
      <c r="GZ1" s="4">
        <v>228</v>
      </c>
      <c r="HA1" s="4">
        <v>229</v>
      </c>
      <c r="HB1" s="4">
        <v>230</v>
      </c>
      <c r="HC1" s="4">
        <v>231</v>
      </c>
      <c r="HD1" s="4">
        <v>232</v>
      </c>
      <c r="HE1" s="4">
        <v>233</v>
      </c>
      <c r="HF1" s="4">
        <v>234</v>
      </c>
      <c r="HG1" s="4">
        <v>235</v>
      </c>
      <c r="HH1" s="4">
        <v>236</v>
      </c>
      <c r="HI1" s="4">
        <v>237</v>
      </c>
      <c r="HJ1" s="4">
        <v>238</v>
      </c>
      <c r="HK1" s="4">
        <v>239</v>
      </c>
      <c r="HL1" s="4">
        <v>240</v>
      </c>
      <c r="HM1" s="4">
        <v>241</v>
      </c>
      <c r="HN1" s="4">
        <v>242</v>
      </c>
      <c r="HO1" s="4">
        <v>243</v>
      </c>
      <c r="HP1" s="4">
        <v>244</v>
      </c>
      <c r="HQ1" s="4">
        <v>245</v>
      </c>
      <c r="HR1" s="4">
        <v>246</v>
      </c>
      <c r="HS1" s="4">
        <v>247</v>
      </c>
      <c r="HT1" s="4">
        <v>248</v>
      </c>
      <c r="HU1" s="4">
        <v>249</v>
      </c>
      <c r="HV1" s="4">
        <v>250</v>
      </c>
      <c r="HW1" s="4">
        <v>251</v>
      </c>
      <c r="HX1" s="4">
        <v>252</v>
      </c>
      <c r="HY1" s="4">
        <v>253</v>
      </c>
      <c r="HZ1" s="4">
        <v>254</v>
      </c>
      <c r="IA1" s="4">
        <v>255</v>
      </c>
      <c r="IB1" s="4">
        <v>256</v>
      </c>
      <c r="IC1" s="4">
        <v>257</v>
      </c>
      <c r="ID1" s="4">
        <v>258</v>
      </c>
      <c r="IE1" s="4">
        <v>259</v>
      </c>
      <c r="IF1" s="4">
        <v>260</v>
      </c>
      <c r="IG1" s="4">
        <v>261</v>
      </c>
      <c r="IH1" s="4">
        <v>262</v>
      </c>
      <c r="II1" s="4">
        <v>263</v>
      </c>
      <c r="IJ1" s="4">
        <v>264</v>
      </c>
      <c r="IK1" s="4">
        <v>265</v>
      </c>
      <c r="IL1" s="4">
        <v>266</v>
      </c>
      <c r="IM1" s="4">
        <v>267</v>
      </c>
      <c r="IN1" s="4">
        <v>268</v>
      </c>
      <c r="IO1" s="4">
        <v>269</v>
      </c>
      <c r="IP1" s="4">
        <v>270</v>
      </c>
      <c r="IQ1" s="4">
        <v>271</v>
      </c>
      <c r="IR1" s="4">
        <v>272</v>
      </c>
      <c r="IS1" s="4">
        <v>273</v>
      </c>
      <c r="IT1" s="4">
        <v>274</v>
      </c>
      <c r="IU1" s="4">
        <v>275</v>
      </c>
      <c r="IV1" s="4">
        <v>276</v>
      </c>
      <c r="IW1" s="4">
        <v>277</v>
      </c>
      <c r="IX1" s="4">
        <v>278</v>
      </c>
      <c r="IY1" s="4">
        <v>279</v>
      </c>
      <c r="IZ1" s="4">
        <v>280</v>
      </c>
      <c r="JA1" s="4">
        <v>281</v>
      </c>
      <c r="JB1" s="4">
        <v>282</v>
      </c>
      <c r="JC1" s="4">
        <v>283</v>
      </c>
      <c r="JD1" s="4">
        <v>284</v>
      </c>
      <c r="JE1" s="4">
        <v>285</v>
      </c>
      <c r="JF1" s="4">
        <v>286</v>
      </c>
      <c r="JG1" s="4">
        <v>287</v>
      </c>
      <c r="JH1" s="4">
        <v>288</v>
      </c>
      <c r="JI1" s="4">
        <v>289</v>
      </c>
      <c r="JJ1" s="4">
        <v>290</v>
      </c>
      <c r="JK1" s="4">
        <v>291</v>
      </c>
      <c r="JL1" s="4">
        <v>292</v>
      </c>
      <c r="JM1" s="4">
        <v>293</v>
      </c>
      <c r="JN1" s="4">
        <v>294</v>
      </c>
      <c r="JO1" s="4">
        <v>295</v>
      </c>
      <c r="JP1" s="4">
        <v>296</v>
      </c>
      <c r="JQ1" s="4">
        <v>297</v>
      </c>
      <c r="JR1" s="4">
        <v>298</v>
      </c>
      <c r="JS1" s="4">
        <v>299</v>
      </c>
      <c r="JT1" s="4">
        <v>300</v>
      </c>
      <c r="JU1" s="4">
        <v>301</v>
      </c>
      <c r="JV1" s="4">
        <v>302</v>
      </c>
      <c r="JW1" s="4">
        <v>303</v>
      </c>
      <c r="JX1" s="4">
        <v>304</v>
      </c>
      <c r="JY1" s="4">
        <v>305</v>
      </c>
      <c r="JZ1" s="4">
        <v>306</v>
      </c>
      <c r="KA1" s="4">
        <v>307</v>
      </c>
      <c r="KB1" s="4">
        <v>308</v>
      </c>
      <c r="KC1" s="4">
        <v>309</v>
      </c>
      <c r="KD1" s="4">
        <v>310</v>
      </c>
      <c r="KE1" s="4">
        <v>311</v>
      </c>
      <c r="KF1" s="4">
        <v>312</v>
      </c>
      <c r="KG1" s="4">
        <v>313</v>
      </c>
      <c r="KH1" s="4">
        <v>314</v>
      </c>
      <c r="KI1" s="4">
        <v>315</v>
      </c>
      <c r="KJ1" s="4">
        <v>316</v>
      </c>
      <c r="KK1" s="4">
        <v>317</v>
      </c>
      <c r="KL1" s="4">
        <v>318</v>
      </c>
      <c r="KM1" s="4">
        <v>319</v>
      </c>
      <c r="KN1" s="4">
        <v>320</v>
      </c>
      <c r="KO1" s="4">
        <v>321</v>
      </c>
      <c r="KP1" s="4">
        <v>322</v>
      </c>
      <c r="KQ1" s="4">
        <v>323</v>
      </c>
      <c r="KR1" s="4">
        <v>324</v>
      </c>
      <c r="KS1" s="4">
        <v>325</v>
      </c>
      <c r="KT1" s="4">
        <v>326</v>
      </c>
      <c r="KU1" s="4">
        <v>327</v>
      </c>
      <c r="KV1" s="4">
        <v>328</v>
      </c>
      <c r="KW1" s="4">
        <v>329</v>
      </c>
      <c r="KX1" s="4">
        <v>330</v>
      </c>
      <c r="KY1" s="4">
        <v>331</v>
      </c>
      <c r="KZ1" s="4">
        <v>332</v>
      </c>
      <c r="LA1" s="4">
        <v>333</v>
      </c>
      <c r="LB1" s="4">
        <v>334</v>
      </c>
      <c r="LC1" s="4">
        <v>335</v>
      </c>
      <c r="LD1" s="4">
        <v>336</v>
      </c>
      <c r="LE1" s="4">
        <v>337</v>
      </c>
      <c r="LF1" s="4">
        <v>338</v>
      </c>
      <c r="LG1" s="4">
        <v>339</v>
      </c>
      <c r="LH1" s="4">
        <v>340</v>
      </c>
      <c r="LI1" s="4">
        <v>341</v>
      </c>
      <c r="LJ1" s="4">
        <v>342</v>
      </c>
      <c r="LK1" s="4">
        <v>343</v>
      </c>
      <c r="LL1" s="4">
        <v>344</v>
      </c>
      <c r="LM1" s="4">
        <v>345</v>
      </c>
      <c r="LN1" s="4">
        <v>346</v>
      </c>
      <c r="LO1" s="4">
        <v>347</v>
      </c>
      <c r="LP1" s="4">
        <v>348</v>
      </c>
      <c r="LQ1" s="4">
        <v>349</v>
      </c>
      <c r="LR1" s="4">
        <v>350</v>
      </c>
      <c r="LS1" s="4">
        <v>351</v>
      </c>
      <c r="LT1" s="4">
        <v>352</v>
      </c>
      <c r="LU1" s="4">
        <v>353</v>
      </c>
      <c r="LV1" s="4">
        <v>354</v>
      </c>
      <c r="LW1" s="4">
        <v>355</v>
      </c>
      <c r="LX1" s="4">
        <v>356</v>
      </c>
      <c r="LY1" s="4">
        <v>357</v>
      </c>
      <c r="LZ1" s="4">
        <v>358</v>
      </c>
      <c r="MA1" s="4">
        <v>359</v>
      </c>
      <c r="MB1" s="4">
        <v>360</v>
      </c>
      <c r="MC1" s="4">
        <v>361</v>
      </c>
      <c r="MD1" s="4">
        <v>362</v>
      </c>
      <c r="ME1" s="4">
        <v>363</v>
      </c>
      <c r="MF1" s="4">
        <v>364</v>
      </c>
      <c r="MG1" s="4">
        <v>365</v>
      </c>
      <c r="MH1" s="4">
        <v>366</v>
      </c>
      <c r="MI1" s="4">
        <v>367</v>
      </c>
      <c r="MJ1" s="4">
        <v>368</v>
      </c>
      <c r="MK1" s="4">
        <v>369</v>
      </c>
      <c r="ML1" s="4">
        <v>370</v>
      </c>
      <c r="MM1" s="4">
        <v>371</v>
      </c>
      <c r="MN1" s="4">
        <v>372</v>
      </c>
      <c r="MO1" s="4">
        <v>373</v>
      </c>
      <c r="MP1" s="4">
        <v>374</v>
      </c>
      <c r="MQ1" s="4">
        <v>375</v>
      </c>
      <c r="MR1" s="4">
        <v>376</v>
      </c>
      <c r="MS1" s="4">
        <v>377</v>
      </c>
      <c r="MT1" s="4">
        <v>378</v>
      </c>
      <c r="MU1" s="4">
        <v>379</v>
      </c>
      <c r="MV1" s="4">
        <v>380</v>
      </c>
      <c r="MW1" s="4">
        <v>381</v>
      </c>
      <c r="MX1" s="4">
        <v>382</v>
      </c>
      <c r="MY1" s="4">
        <v>383</v>
      </c>
      <c r="MZ1" s="4">
        <v>384</v>
      </c>
      <c r="NA1" s="4">
        <v>385</v>
      </c>
      <c r="NB1" s="4">
        <v>386</v>
      </c>
      <c r="NC1" s="4">
        <v>387</v>
      </c>
      <c r="ND1" s="4">
        <v>388</v>
      </c>
      <c r="NE1" s="4">
        <v>389</v>
      </c>
      <c r="NF1" s="4">
        <v>390</v>
      </c>
      <c r="NG1" s="4">
        <v>391</v>
      </c>
      <c r="NH1" s="4">
        <v>392</v>
      </c>
      <c r="NI1" s="4">
        <v>393</v>
      </c>
      <c r="NJ1" s="4">
        <v>394</v>
      </c>
      <c r="NK1" s="4">
        <v>395</v>
      </c>
      <c r="NL1" s="4">
        <v>396</v>
      </c>
      <c r="NM1" s="4">
        <v>397</v>
      </c>
      <c r="NN1" s="4">
        <v>398</v>
      </c>
      <c r="NO1" s="4">
        <v>399</v>
      </c>
      <c r="NP1" s="4">
        <v>400</v>
      </c>
      <c r="NQ1" s="4">
        <v>401</v>
      </c>
      <c r="NR1" s="4">
        <v>402</v>
      </c>
      <c r="NS1" s="4">
        <v>403</v>
      </c>
      <c r="NT1" s="4">
        <v>404</v>
      </c>
      <c r="NU1" s="4">
        <v>405</v>
      </c>
      <c r="NV1" s="4">
        <v>406</v>
      </c>
      <c r="NW1" s="4">
        <v>407</v>
      </c>
      <c r="NX1" s="4">
        <v>408</v>
      </c>
      <c r="NY1" s="4">
        <v>409</v>
      </c>
      <c r="NZ1" s="4">
        <v>410</v>
      </c>
      <c r="OA1" s="4">
        <v>411</v>
      </c>
      <c r="OB1" s="4">
        <v>412</v>
      </c>
      <c r="OC1" s="4">
        <v>413</v>
      </c>
      <c r="OD1" s="4">
        <v>414</v>
      </c>
      <c r="OE1" s="4">
        <v>415</v>
      </c>
      <c r="OF1" s="4">
        <v>416</v>
      </c>
    </row>
    <row r="2" spans="1:396" ht="20.25" customHeight="1" x14ac:dyDescent="0.3">
      <c r="B2" s="854" t="s">
        <v>0</v>
      </c>
      <c r="C2" s="855"/>
      <c r="D2" s="855"/>
      <c r="E2" s="855"/>
      <c r="F2" s="855"/>
      <c r="H2" s="872"/>
      <c r="I2" s="873"/>
      <c r="J2" s="873"/>
      <c r="K2" s="873"/>
      <c r="L2" s="873"/>
      <c r="M2" s="873"/>
      <c r="N2" s="873"/>
      <c r="O2" s="874"/>
      <c r="Q2" s="872"/>
      <c r="R2" s="873"/>
      <c r="S2" s="873"/>
      <c r="T2" s="873"/>
      <c r="U2" s="873"/>
      <c r="V2" s="873"/>
      <c r="W2" s="873"/>
      <c r="X2" s="874"/>
      <c r="Z2" s="872"/>
      <c r="AA2" s="873"/>
      <c r="AB2" s="873"/>
      <c r="AC2" s="873"/>
      <c r="AD2" s="873"/>
      <c r="AE2" s="873"/>
      <c r="AF2" s="873"/>
      <c r="AG2" s="874"/>
      <c r="AI2" s="872"/>
      <c r="AJ2" s="873"/>
      <c r="AK2" s="873"/>
      <c r="AL2" s="873"/>
      <c r="AM2" s="873"/>
      <c r="AN2" s="873"/>
      <c r="AO2" s="873"/>
      <c r="AP2" s="874"/>
      <c r="AR2" s="872"/>
      <c r="AS2" s="873"/>
      <c r="AT2" s="873"/>
      <c r="AU2" s="873"/>
      <c r="AV2" s="873"/>
      <c r="AW2" s="873"/>
      <c r="AX2" s="873"/>
      <c r="AY2" s="874"/>
      <c r="BA2" s="872"/>
      <c r="BB2" s="873"/>
      <c r="BC2" s="873"/>
      <c r="BD2" s="873"/>
      <c r="BE2" s="873"/>
      <c r="BF2" s="873"/>
      <c r="BG2" s="873"/>
      <c r="BH2" s="874"/>
      <c r="BJ2" s="872"/>
      <c r="BK2" s="873"/>
      <c r="BL2" s="873"/>
      <c r="BM2" s="873"/>
      <c r="BN2" s="873"/>
      <c r="BO2" s="873"/>
      <c r="BP2" s="873"/>
      <c r="BQ2" s="874"/>
      <c r="BS2" s="872"/>
      <c r="BT2" s="873"/>
      <c r="BU2" s="873"/>
      <c r="BV2" s="873"/>
      <c r="BW2" s="873"/>
      <c r="BX2" s="873"/>
      <c r="BY2" s="873"/>
      <c r="BZ2" s="874"/>
      <c r="CB2" s="872"/>
      <c r="CC2" s="873"/>
      <c r="CD2" s="873"/>
      <c r="CE2" s="873"/>
      <c r="CF2" s="873"/>
      <c r="CG2" s="873"/>
      <c r="CH2" s="873"/>
      <c r="CI2" s="874"/>
      <c r="CK2" s="872"/>
      <c r="CL2" s="873"/>
      <c r="CM2" s="873"/>
      <c r="CN2" s="873"/>
      <c r="CO2" s="873"/>
      <c r="CP2" s="873"/>
      <c r="CQ2" s="873"/>
      <c r="CR2" s="874"/>
    </row>
    <row r="3" spans="1:396" ht="20.25" customHeight="1" x14ac:dyDescent="0.3">
      <c r="B3" s="856"/>
      <c r="C3" s="857"/>
      <c r="D3" s="857"/>
      <c r="E3" s="857"/>
      <c r="F3" s="857"/>
      <c r="H3" s="875" t="s">
        <v>1</v>
      </c>
      <c r="I3" s="876"/>
      <c r="J3" s="876"/>
      <c r="K3" s="876"/>
      <c r="L3" s="876"/>
      <c r="M3" s="876"/>
      <c r="N3" s="876"/>
      <c r="O3" s="877"/>
      <c r="Q3" s="875" t="s">
        <v>2</v>
      </c>
      <c r="R3" s="876"/>
      <c r="S3" s="876"/>
      <c r="T3" s="876"/>
      <c r="U3" s="876"/>
      <c r="V3" s="876"/>
      <c r="W3" s="876"/>
      <c r="X3" s="877"/>
      <c r="Z3" s="875" t="s">
        <v>3</v>
      </c>
      <c r="AA3" s="876"/>
      <c r="AB3" s="876"/>
      <c r="AC3" s="876"/>
      <c r="AD3" s="876"/>
      <c r="AE3" s="876"/>
      <c r="AF3" s="876"/>
      <c r="AG3" s="877"/>
      <c r="AI3" s="875" t="s">
        <v>4</v>
      </c>
      <c r="AJ3" s="876"/>
      <c r="AK3" s="876"/>
      <c r="AL3" s="876"/>
      <c r="AM3" s="876"/>
      <c r="AN3" s="876"/>
      <c r="AO3" s="876"/>
      <c r="AP3" s="877"/>
      <c r="AR3" s="875" t="s">
        <v>5</v>
      </c>
      <c r="AS3" s="876"/>
      <c r="AT3" s="876"/>
      <c r="AU3" s="876"/>
      <c r="AV3" s="876"/>
      <c r="AW3" s="876"/>
      <c r="AX3" s="876"/>
      <c r="AY3" s="877"/>
      <c r="BA3" s="875" t="s">
        <v>6</v>
      </c>
      <c r="BB3" s="876"/>
      <c r="BC3" s="876"/>
      <c r="BD3" s="876"/>
      <c r="BE3" s="876"/>
      <c r="BF3" s="876"/>
      <c r="BG3" s="876"/>
      <c r="BH3" s="877"/>
      <c r="BJ3" s="875" t="s">
        <v>7</v>
      </c>
      <c r="BK3" s="876"/>
      <c r="BL3" s="876"/>
      <c r="BM3" s="876"/>
      <c r="BN3" s="876"/>
      <c r="BO3" s="876"/>
      <c r="BP3" s="876"/>
      <c r="BQ3" s="877"/>
      <c r="BS3" s="875" t="s">
        <v>8</v>
      </c>
      <c r="BT3" s="876"/>
      <c r="BU3" s="876"/>
      <c r="BV3" s="876"/>
      <c r="BW3" s="876"/>
      <c r="BX3" s="876"/>
      <c r="BY3" s="876"/>
      <c r="BZ3" s="877"/>
      <c r="CB3" s="875" t="s">
        <v>227</v>
      </c>
      <c r="CC3" s="876"/>
      <c r="CD3" s="876"/>
      <c r="CE3" s="876"/>
      <c r="CF3" s="876"/>
      <c r="CG3" s="876"/>
      <c r="CH3" s="876"/>
      <c r="CI3" s="877"/>
      <c r="CK3" s="875" t="s">
        <v>227</v>
      </c>
      <c r="CL3" s="876"/>
      <c r="CM3" s="876"/>
      <c r="CN3" s="876"/>
      <c r="CO3" s="876"/>
      <c r="CP3" s="876"/>
      <c r="CQ3" s="876"/>
      <c r="CR3" s="877"/>
    </row>
    <row r="4" spans="1:396" ht="15" customHeight="1" x14ac:dyDescent="0.3">
      <c r="B4" s="856"/>
      <c r="C4" s="857"/>
      <c r="D4" s="857"/>
      <c r="E4" s="857"/>
      <c r="F4" s="857"/>
      <c r="H4" s="5">
        <v>43836</v>
      </c>
      <c r="I4" s="6">
        <v>43837</v>
      </c>
      <c r="J4" s="6">
        <v>43838</v>
      </c>
      <c r="K4" s="6">
        <v>43839</v>
      </c>
      <c r="L4" s="6">
        <v>43840</v>
      </c>
      <c r="M4" s="6">
        <v>43841</v>
      </c>
      <c r="N4" s="6">
        <v>43842</v>
      </c>
      <c r="O4" s="7"/>
      <c r="Q4" s="5">
        <v>43843</v>
      </c>
      <c r="R4" s="5">
        <v>43844</v>
      </c>
      <c r="S4" s="5">
        <v>43845</v>
      </c>
      <c r="T4" s="5">
        <v>43846</v>
      </c>
      <c r="U4" s="5">
        <v>43847</v>
      </c>
      <c r="V4" s="5">
        <v>43848</v>
      </c>
      <c r="W4" s="5">
        <v>43849</v>
      </c>
      <c r="X4" s="7"/>
      <c r="Z4" s="5">
        <v>43850</v>
      </c>
      <c r="AA4" s="5">
        <v>43851</v>
      </c>
      <c r="AB4" s="5">
        <v>43852</v>
      </c>
      <c r="AC4" s="5">
        <v>43853</v>
      </c>
      <c r="AD4" s="5">
        <v>43854</v>
      </c>
      <c r="AE4" s="5">
        <v>43855</v>
      </c>
      <c r="AF4" s="5">
        <v>43856</v>
      </c>
      <c r="AG4" s="7"/>
      <c r="AI4" s="5">
        <v>43857</v>
      </c>
      <c r="AJ4" s="5">
        <v>43858</v>
      </c>
      <c r="AK4" s="5">
        <v>43859</v>
      </c>
      <c r="AL4" s="5">
        <v>43860</v>
      </c>
      <c r="AM4" s="5">
        <v>43861</v>
      </c>
      <c r="AN4" s="5">
        <v>43862</v>
      </c>
      <c r="AO4" s="5">
        <v>43863</v>
      </c>
      <c r="AP4" s="7"/>
      <c r="AR4" s="5">
        <v>43864</v>
      </c>
      <c r="AS4" s="5">
        <v>43865</v>
      </c>
      <c r="AT4" s="5">
        <v>43866</v>
      </c>
      <c r="AU4" s="5">
        <v>43867</v>
      </c>
      <c r="AV4" s="5">
        <v>43868</v>
      </c>
      <c r="AW4" s="5">
        <v>43869</v>
      </c>
      <c r="AX4" s="5">
        <v>43870</v>
      </c>
      <c r="AY4" s="7"/>
      <c r="BA4" s="5">
        <v>43871</v>
      </c>
      <c r="BB4" s="5">
        <v>43872</v>
      </c>
      <c r="BC4" s="5">
        <v>43873</v>
      </c>
      <c r="BD4" s="5">
        <v>43874</v>
      </c>
      <c r="BE4" s="5">
        <v>43875</v>
      </c>
      <c r="BF4" s="5">
        <v>43876</v>
      </c>
      <c r="BG4" s="5">
        <v>43877</v>
      </c>
      <c r="BH4" s="7"/>
      <c r="BJ4" s="5">
        <v>43878</v>
      </c>
      <c r="BK4" s="5">
        <v>43879</v>
      </c>
      <c r="BL4" s="5">
        <v>43880</v>
      </c>
      <c r="BM4" s="5">
        <v>43881</v>
      </c>
      <c r="BN4" s="5">
        <v>43882</v>
      </c>
      <c r="BO4" s="5">
        <v>43883</v>
      </c>
      <c r="BP4" s="5">
        <v>43884</v>
      </c>
      <c r="BQ4" s="7"/>
      <c r="BS4" s="5">
        <v>43885</v>
      </c>
      <c r="BT4" s="5">
        <v>43886</v>
      </c>
      <c r="BU4" s="5">
        <v>43887</v>
      </c>
      <c r="BV4" s="5">
        <v>43888</v>
      </c>
      <c r="BW4" s="5">
        <v>43889</v>
      </c>
      <c r="BX4" s="5">
        <v>43890</v>
      </c>
      <c r="BY4" s="5">
        <v>43891</v>
      </c>
      <c r="BZ4" s="7"/>
      <c r="CB4" s="5">
        <v>43892</v>
      </c>
      <c r="CC4" s="5">
        <v>43893</v>
      </c>
      <c r="CD4" s="5">
        <v>43894</v>
      </c>
      <c r="CE4" s="5">
        <v>43895</v>
      </c>
      <c r="CF4" s="5">
        <v>43896</v>
      </c>
      <c r="CG4" s="5">
        <v>43897</v>
      </c>
      <c r="CH4" s="5">
        <v>43898</v>
      </c>
      <c r="CI4" s="292"/>
      <c r="CK4" s="5">
        <v>43892</v>
      </c>
      <c r="CL4" s="5">
        <v>43893</v>
      </c>
      <c r="CM4" s="5">
        <v>43894</v>
      </c>
      <c r="CN4" s="5">
        <v>43895</v>
      </c>
      <c r="CO4" s="5">
        <v>43896</v>
      </c>
      <c r="CP4" s="5">
        <v>43897</v>
      </c>
      <c r="CQ4" s="5">
        <v>43898</v>
      </c>
      <c r="CR4" s="338"/>
    </row>
    <row r="5" spans="1:396" ht="19.5" customHeight="1" thickBot="1" x14ac:dyDescent="0.35">
      <c r="B5" s="858"/>
      <c r="C5" s="859"/>
      <c r="D5" s="859"/>
      <c r="E5" s="859"/>
      <c r="F5" s="859"/>
      <c r="H5" s="8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10" t="s">
        <v>16</v>
      </c>
      <c r="Q5" s="8" t="s">
        <v>9</v>
      </c>
      <c r="R5" s="9" t="s">
        <v>10</v>
      </c>
      <c r="S5" s="9" t="s">
        <v>11</v>
      </c>
      <c r="T5" s="9" t="s">
        <v>12</v>
      </c>
      <c r="U5" s="9" t="s">
        <v>13</v>
      </c>
      <c r="V5" s="9" t="s">
        <v>14</v>
      </c>
      <c r="W5" s="9" t="s">
        <v>15</v>
      </c>
      <c r="X5" s="10" t="s">
        <v>16</v>
      </c>
      <c r="Z5" s="8" t="s">
        <v>9</v>
      </c>
      <c r="AA5" s="9" t="s">
        <v>10</v>
      </c>
      <c r="AB5" s="9" t="s">
        <v>11</v>
      </c>
      <c r="AC5" s="9" t="s">
        <v>12</v>
      </c>
      <c r="AD5" s="9" t="s">
        <v>13</v>
      </c>
      <c r="AE5" s="9" t="s">
        <v>14</v>
      </c>
      <c r="AF5" s="9" t="s">
        <v>15</v>
      </c>
      <c r="AG5" s="10" t="s">
        <v>16</v>
      </c>
      <c r="AI5" s="8" t="s">
        <v>9</v>
      </c>
      <c r="AJ5" s="9" t="s">
        <v>10</v>
      </c>
      <c r="AK5" s="9" t="s">
        <v>11</v>
      </c>
      <c r="AL5" s="9" t="s">
        <v>12</v>
      </c>
      <c r="AM5" s="9" t="s">
        <v>13</v>
      </c>
      <c r="AN5" s="9" t="s">
        <v>14</v>
      </c>
      <c r="AO5" s="9" t="s">
        <v>15</v>
      </c>
      <c r="AP5" s="10" t="s">
        <v>16</v>
      </c>
      <c r="AR5" s="8" t="s">
        <v>9</v>
      </c>
      <c r="AS5" s="9" t="s">
        <v>10</v>
      </c>
      <c r="AT5" s="9" t="s">
        <v>11</v>
      </c>
      <c r="AU5" s="9" t="s">
        <v>12</v>
      </c>
      <c r="AV5" s="9" t="s">
        <v>13</v>
      </c>
      <c r="AW5" s="9" t="s">
        <v>14</v>
      </c>
      <c r="AX5" s="9" t="s">
        <v>15</v>
      </c>
      <c r="AY5" s="10" t="s">
        <v>16</v>
      </c>
      <c r="BA5" s="8" t="s">
        <v>9</v>
      </c>
      <c r="BB5" s="9" t="s">
        <v>10</v>
      </c>
      <c r="BC5" s="9" t="s">
        <v>11</v>
      </c>
      <c r="BD5" s="9" t="s">
        <v>12</v>
      </c>
      <c r="BE5" s="9" t="s">
        <v>13</v>
      </c>
      <c r="BF5" s="9" t="s">
        <v>14</v>
      </c>
      <c r="BG5" s="9" t="s">
        <v>15</v>
      </c>
      <c r="BH5" s="10" t="s">
        <v>16</v>
      </c>
      <c r="BJ5" s="8" t="s">
        <v>9</v>
      </c>
      <c r="BK5" s="9" t="s">
        <v>10</v>
      </c>
      <c r="BL5" s="9" t="s">
        <v>11</v>
      </c>
      <c r="BM5" s="9" t="s">
        <v>12</v>
      </c>
      <c r="BN5" s="9" t="s">
        <v>13</v>
      </c>
      <c r="BO5" s="9" t="s">
        <v>14</v>
      </c>
      <c r="BP5" s="9" t="s">
        <v>15</v>
      </c>
      <c r="BQ5" s="10" t="s">
        <v>16</v>
      </c>
      <c r="BS5" s="8" t="s">
        <v>9</v>
      </c>
      <c r="BT5" s="9" t="s">
        <v>10</v>
      </c>
      <c r="BU5" s="9" t="s">
        <v>11</v>
      </c>
      <c r="BV5" s="9" t="s">
        <v>12</v>
      </c>
      <c r="BW5" s="9" t="s">
        <v>13</v>
      </c>
      <c r="BX5" s="9" t="s">
        <v>14</v>
      </c>
      <c r="BY5" s="9" t="s">
        <v>15</v>
      </c>
      <c r="BZ5" s="10" t="s">
        <v>16</v>
      </c>
      <c r="CB5" s="8" t="s">
        <v>9</v>
      </c>
      <c r="CC5" s="9" t="s">
        <v>10</v>
      </c>
      <c r="CD5" s="9" t="s">
        <v>11</v>
      </c>
      <c r="CE5" s="9" t="s">
        <v>12</v>
      </c>
      <c r="CF5" s="9" t="s">
        <v>13</v>
      </c>
      <c r="CG5" s="9" t="s">
        <v>14</v>
      </c>
      <c r="CH5" s="9" t="s">
        <v>15</v>
      </c>
      <c r="CI5" s="10" t="s">
        <v>16</v>
      </c>
      <c r="CK5" s="8" t="s">
        <v>9</v>
      </c>
      <c r="CL5" s="9" t="s">
        <v>10</v>
      </c>
      <c r="CM5" s="9" t="s">
        <v>11</v>
      </c>
      <c r="CN5" s="9" t="s">
        <v>12</v>
      </c>
      <c r="CO5" s="9" t="s">
        <v>13</v>
      </c>
      <c r="CP5" s="9" t="s">
        <v>14</v>
      </c>
      <c r="CQ5" s="9" t="s">
        <v>15</v>
      </c>
      <c r="CR5" s="10" t="s">
        <v>16</v>
      </c>
    </row>
    <row r="6" spans="1:396" ht="19.5" customHeight="1" thickBot="1" x14ac:dyDescent="0.3">
      <c r="B6" s="848" t="s">
        <v>238</v>
      </c>
      <c r="C6" s="849"/>
      <c r="D6" s="849"/>
      <c r="E6" s="849"/>
      <c r="F6" s="850"/>
      <c r="H6" s="350"/>
      <c r="I6" s="351"/>
      <c r="J6" s="351"/>
      <c r="K6" s="351"/>
      <c r="L6" s="351"/>
      <c r="M6" s="351"/>
      <c r="N6" s="351"/>
      <c r="O6" s="352"/>
      <c r="Q6" s="350"/>
      <c r="R6" s="351"/>
      <c r="S6" s="351"/>
      <c r="T6" s="351"/>
      <c r="U6" s="351"/>
      <c r="V6" s="351"/>
      <c r="W6" s="351"/>
      <c r="X6" s="352"/>
      <c r="Z6" s="350"/>
      <c r="AA6" s="351"/>
      <c r="AB6" s="351"/>
      <c r="AC6" s="351"/>
      <c r="AD6" s="351"/>
      <c r="AE6" s="351"/>
      <c r="AF6" s="351"/>
      <c r="AG6" s="352"/>
      <c r="AI6" s="350"/>
      <c r="AJ6" s="351"/>
      <c r="AK6" s="351"/>
      <c r="AL6" s="351"/>
      <c r="AM6" s="351"/>
      <c r="AN6" s="351"/>
      <c r="AO6" s="351"/>
      <c r="AP6" s="352"/>
      <c r="AR6" s="350"/>
      <c r="AS6" s="351"/>
      <c r="AT6" s="351"/>
      <c r="AU6" s="351"/>
      <c r="AV6" s="351"/>
      <c r="AW6" s="351"/>
      <c r="AX6" s="351"/>
      <c r="AY6" s="352"/>
      <c r="BA6" s="350"/>
      <c r="BB6" s="351"/>
      <c r="BC6" s="351"/>
      <c r="BD6" s="351"/>
      <c r="BE6" s="351"/>
      <c r="BF6" s="351"/>
      <c r="BG6" s="351"/>
      <c r="BH6" s="352"/>
      <c r="BJ6" s="350"/>
      <c r="BK6" s="351"/>
      <c r="BL6" s="351"/>
      <c r="BM6" s="351"/>
      <c r="BN6" s="351"/>
      <c r="BO6" s="351"/>
      <c r="BP6" s="351"/>
      <c r="BQ6" s="352"/>
      <c r="BS6" s="350"/>
      <c r="BT6" s="351"/>
      <c r="BU6" s="351"/>
      <c r="BV6" s="351"/>
      <c r="BW6" s="351"/>
      <c r="BX6" s="351"/>
      <c r="BY6" s="351"/>
      <c r="BZ6" s="352"/>
      <c r="CB6" s="350"/>
      <c r="CC6" s="351"/>
      <c r="CD6" s="351"/>
      <c r="CE6" s="351"/>
      <c r="CF6" s="351"/>
      <c r="CG6" s="351"/>
      <c r="CH6" s="351"/>
      <c r="CI6" s="352"/>
      <c r="CK6" s="356"/>
      <c r="CL6" s="357"/>
      <c r="CM6" s="357"/>
      <c r="CN6" s="357"/>
      <c r="CO6" s="357"/>
      <c r="CP6" s="357"/>
      <c r="CQ6" s="357"/>
      <c r="CR6" s="358"/>
    </row>
    <row r="7" spans="1:396" ht="19.5" customHeight="1" thickBot="1" x14ac:dyDescent="0.3">
      <c r="B7" s="851" t="s">
        <v>237</v>
      </c>
      <c r="C7" s="852"/>
      <c r="D7" s="852"/>
      <c r="E7" s="852"/>
      <c r="F7" s="853"/>
      <c r="H7" s="350"/>
      <c r="I7" s="351"/>
      <c r="J7" s="351"/>
      <c r="K7" s="351"/>
      <c r="L7" s="351"/>
      <c r="M7" s="351"/>
      <c r="N7" s="351"/>
      <c r="O7" s="352"/>
      <c r="Q7" s="350"/>
      <c r="R7" s="351"/>
      <c r="S7" s="351"/>
      <c r="T7" s="351"/>
      <c r="U7" s="351"/>
      <c r="V7" s="351"/>
      <c r="W7" s="351"/>
      <c r="X7" s="352"/>
      <c r="Z7" s="350"/>
      <c r="AA7" s="351"/>
      <c r="AB7" s="351"/>
      <c r="AC7" s="351"/>
      <c r="AD7" s="351"/>
      <c r="AE7" s="351"/>
      <c r="AF7" s="351"/>
      <c r="AG7" s="352"/>
      <c r="AI7" s="350"/>
      <c r="AJ7" s="351"/>
      <c r="AK7" s="351"/>
      <c r="AL7" s="351"/>
      <c r="AM7" s="351"/>
      <c r="AN7" s="351"/>
      <c r="AO7" s="351"/>
      <c r="AP7" s="352"/>
      <c r="AR7" s="350"/>
      <c r="AS7" s="351"/>
      <c r="AT7" s="351"/>
      <c r="AU7" s="351"/>
      <c r="AV7" s="351"/>
      <c r="AW7" s="351"/>
      <c r="AX7" s="351"/>
      <c r="AY7" s="352"/>
      <c r="BA7" s="350"/>
      <c r="BB7" s="351"/>
      <c r="BC7" s="351"/>
      <c r="BD7" s="351"/>
      <c r="BE7" s="351"/>
      <c r="BF7" s="351"/>
      <c r="BG7" s="351"/>
      <c r="BH7" s="352"/>
      <c r="BJ7" s="350"/>
      <c r="BK7" s="351"/>
      <c r="BL7" s="351"/>
      <c r="BM7" s="351"/>
      <c r="BN7" s="351"/>
      <c r="BO7" s="351"/>
      <c r="BP7" s="351"/>
      <c r="BQ7" s="352"/>
      <c r="BS7" s="350"/>
      <c r="BT7" s="351"/>
      <c r="BU7" s="351"/>
      <c r="BV7" s="351"/>
      <c r="BW7" s="351"/>
      <c r="BX7" s="351"/>
      <c r="BY7" s="351"/>
      <c r="BZ7" s="352"/>
      <c r="CB7" s="350"/>
      <c r="CC7" s="351"/>
      <c r="CD7" s="351"/>
      <c r="CE7" s="351"/>
      <c r="CF7" s="351"/>
      <c r="CG7" s="351"/>
      <c r="CH7" s="351"/>
      <c r="CI7" s="352"/>
      <c r="CK7" s="353"/>
      <c r="CL7" s="354"/>
      <c r="CM7" s="354"/>
      <c r="CN7" s="354"/>
      <c r="CO7" s="354"/>
      <c r="CP7" s="354"/>
      <c r="CQ7" s="354"/>
      <c r="CR7" s="355"/>
    </row>
    <row r="8" spans="1:396" ht="19.5" customHeight="1" thickBot="1" x14ac:dyDescent="0.3">
      <c r="C8" s="1"/>
      <c r="D8" s="1"/>
      <c r="E8" s="1"/>
      <c r="F8" s="1"/>
      <c r="H8" s="350"/>
      <c r="I8" s="351"/>
      <c r="J8" s="351"/>
      <c r="K8" s="351"/>
      <c r="L8" s="351"/>
      <c r="M8" s="351"/>
      <c r="N8" s="351"/>
      <c r="O8" s="352"/>
      <c r="Q8" s="350"/>
      <c r="R8" s="351"/>
      <c r="S8" s="351"/>
      <c r="T8" s="351"/>
      <c r="U8" s="351"/>
      <c r="V8" s="351"/>
      <c r="W8" s="351"/>
      <c r="X8" s="352"/>
      <c r="Z8" s="350"/>
      <c r="AA8" s="351"/>
      <c r="AB8" s="351"/>
      <c r="AC8" s="351"/>
      <c r="AD8" s="351"/>
      <c r="AE8" s="351"/>
      <c r="AF8" s="351"/>
      <c r="AG8" s="352"/>
      <c r="AI8" s="350"/>
      <c r="AJ8" s="351"/>
      <c r="AK8" s="351"/>
      <c r="AL8" s="351"/>
      <c r="AM8" s="351"/>
      <c r="AN8" s="351"/>
      <c r="AO8" s="351"/>
      <c r="AP8" s="352"/>
      <c r="AR8" s="350"/>
      <c r="AS8" s="351"/>
      <c r="AT8" s="351"/>
      <c r="AU8" s="351"/>
      <c r="AV8" s="351"/>
      <c r="AW8" s="351"/>
      <c r="AX8" s="351"/>
      <c r="AY8" s="352"/>
      <c r="BA8" s="350"/>
      <c r="BB8" s="351"/>
      <c r="BC8" s="351"/>
      <c r="BD8" s="351"/>
      <c r="BE8" s="351"/>
      <c r="BF8" s="351"/>
      <c r="BG8" s="351"/>
      <c r="BH8" s="352"/>
      <c r="BJ8" s="350"/>
      <c r="BK8" s="351"/>
      <c r="BL8" s="351"/>
      <c r="BM8" s="351"/>
      <c r="BN8" s="351"/>
      <c r="BO8" s="351"/>
      <c r="BP8" s="351"/>
      <c r="BQ8" s="352"/>
      <c r="BS8" s="350"/>
      <c r="BT8" s="351"/>
      <c r="BU8" s="351"/>
      <c r="BV8" s="351"/>
      <c r="BW8" s="351"/>
      <c r="BX8" s="351"/>
      <c r="BY8" s="351"/>
      <c r="BZ8" s="352"/>
    </row>
    <row r="9" spans="1:396" ht="15" customHeight="1" thickBot="1" x14ac:dyDescent="0.35">
      <c r="B9" s="913" t="s">
        <v>17</v>
      </c>
      <c r="C9" s="914"/>
      <c r="D9" s="914"/>
      <c r="E9" s="914"/>
      <c r="F9" s="915"/>
      <c r="H9" s="878"/>
      <c r="I9" s="879"/>
      <c r="J9" s="879"/>
      <c r="K9" s="879"/>
      <c r="L9" s="879"/>
      <c r="M9" s="879"/>
      <c r="N9" s="879"/>
      <c r="O9" s="880"/>
      <c r="Q9" s="878"/>
      <c r="R9" s="879"/>
      <c r="S9" s="879"/>
      <c r="T9" s="879"/>
      <c r="U9" s="879"/>
      <c r="V9" s="879"/>
      <c r="W9" s="879"/>
      <c r="X9" s="880"/>
      <c r="Z9" s="878"/>
      <c r="AA9" s="879"/>
      <c r="AB9" s="879"/>
      <c r="AC9" s="879"/>
      <c r="AD9" s="879"/>
      <c r="AE9" s="879"/>
      <c r="AF9" s="879"/>
      <c r="AG9" s="880"/>
      <c r="AI9" s="878"/>
      <c r="AJ9" s="879"/>
      <c r="AK9" s="879"/>
      <c r="AL9" s="879"/>
      <c r="AM9" s="879"/>
      <c r="AN9" s="879"/>
      <c r="AO9" s="879"/>
      <c r="AP9" s="880"/>
      <c r="AR9" s="878"/>
      <c r="AS9" s="879"/>
      <c r="AT9" s="879"/>
      <c r="AU9" s="879"/>
      <c r="AV9" s="879"/>
      <c r="AW9" s="879"/>
      <c r="AX9" s="879"/>
      <c r="AY9" s="880"/>
      <c r="BA9" s="878"/>
      <c r="BB9" s="879"/>
      <c r="BC9" s="879"/>
      <c r="BD9" s="879"/>
      <c r="BE9" s="879"/>
      <c r="BF9" s="879"/>
      <c r="BG9" s="879"/>
      <c r="BH9" s="880"/>
      <c r="BJ9" s="878"/>
      <c r="BK9" s="879"/>
      <c r="BL9" s="879"/>
      <c r="BM9" s="879"/>
      <c r="BN9" s="879"/>
      <c r="BO9" s="879"/>
      <c r="BP9" s="879"/>
      <c r="BQ9" s="880"/>
      <c r="BS9" s="878"/>
      <c r="BT9" s="879"/>
      <c r="BU9" s="879"/>
      <c r="BV9" s="879"/>
      <c r="BW9" s="879"/>
      <c r="BX9" s="879"/>
      <c r="BY9" s="879"/>
      <c r="BZ9" s="880"/>
      <c r="CB9" s="878"/>
      <c r="CC9" s="879"/>
      <c r="CD9" s="879"/>
      <c r="CE9" s="879"/>
      <c r="CF9" s="879"/>
      <c r="CG9" s="879"/>
      <c r="CH9" s="879"/>
      <c r="CI9" s="880"/>
      <c r="CK9" s="878"/>
      <c r="CL9" s="879"/>
      <c r="CM9" s="879"/>
      <c r="CN9" s="879"/>
      <c r="CO9" s="879"/>
      <c r="CP9" s="879"/>
      <c r="CQ9" s="879"/>
      <c r="CR9" s="880"/>
    </row>
    <row r="10" spans="1:396" ht="15" customHeight="1" x14ac:dyDescent="0.25">
      <c r="B10" s="11" t="s">
        <v>18</v>
      </c>
      <c r="C10" s="904" t="s">
        <v>19</v>
      </c>
      <c r="D10" s="905"/>
      <c r="E10" s="905"/>
      <c r="F10" s="12"/>
      <c r="H10" s="13">
        <v>102.15300000000001</v>
      </c>
      <c r="I10" s="14">
        <v>88.01</v>
      </c>
      <c r="J10" s="14">
        <v>72.599999999999994</v>
      </c>
      <c r="K10" s="14">
        <v>65.599999999999994</v>
      </c>
      <c r="L10" s="14">
        <v>35.340000000000003</v>
      </c>
      <c r="M10" s="14">
        <v>0</v>
      </c>
      <c r="N10" s="14">
        <v>0</v>
      </c>
      <c r="O10" s="15">
        <f>SUM(H10:N10)</f>
        <v>363.70300000000009</v>
      </c>
      <c r="Q10" s="13">
        <v>88.6</v>
      </c>
      <c r="R10" s="13">
        <v>73.171999999999997</v>
      </c>
      <c r="S10" s="13">
        <v>66.45</v>
      </c>
      <c r="T10" s="13">
        <v>55.3</v>
      </c>
      <c r="U10" s="13">
        <v>55.29998779296875</v>
      </c>
      <c r="V10" s="13">
        <v>55.29998779296875</v>
      </c>
      <c r="W10" s="13">
        <v>55.29998779296875</v>
      </c>
      <c r="X10" s="15">
        <f>SUM(Q10:W10)</f>
        <v>449.42196337890624</v>
      </c>
      <c r="Z10" s="13">
        <v>47.9</v>
      </c>
      <c r="AA10" s="13">
        <v>78.8</v>
      </c>
      <c r="AB10" s="13">
        <v>71.900000000000006</v>
      </c>
      <c r="AC10" s="13">
        <v>53.85</v>
      </c>
      <c r="AD10" s="13">
        <v>93.111999999999995</v>
      </c>
      <c r="AE10" s="13">
        <v>2.1</v>
      </c>
      <c r="AF10" s="13">
        <v>2.0999984741210937</v>
      </c>
      <c r="AG10" s="15">
        <f>SUM(Z10:AF10)</f>
        <v>349.76199847412113</v>
      </c>
      <c r="AI10" s="13">
        <v>62.7</v>
      </c>
      <c r="AJ10" s="13">
        <v>90.98</v>
      </c>
      <c r="AK10" s="13">
        <v>85.912000000000006</v>
      </c>
      <c r="AL10" s="13">
        <v>53.1</v>
      </c>
      <c r="AM10" s="13">
        <v>0</v>
      </c>
      <c r="AN10" s="13">
        <v>0</v>
      </c>
      <c r="AO10" s="13">
        <v>0</v>
      </c>
      <c r="AP10" s="15">
        <f>SUM(AI10:AO10)</f>
        <v>292.69200000000001</v>
      </c>
      <c r="AR10" s="13">
        <v>0</v>
      </c>
      <c r="AS10" s="13">
        <v>104.8</v>
      </c>
      <c r="AT10" s="13">
        <v>78.3</v>
      </c>
      <c r="AU10" s="13">
        <v>74.599999999999994</v>
      </c>
      <c r="AV10" s="13">
        <v>111.78</v>
      </c>
      <c r="AW10" s="13">
        <v>0</v>
      </c>
      <c r="AX10" s="13">
        <v>0</v>
      </c>
      <c r="AY10" s="15">
        <f>SUM(AR10:AX10)</f>
        <v>369.48</v>
      </c>
      <c r="BA10" s="13">
        <v>100.46</v>
      </c>
      <c r="BB10" s="13">
        <v>59.103999999999999</v>
      </c>
      <c r="BC10" s="13">
        <v>110</v>
      </c>
      <c r="BD10" s="13">
        <v>48.9</v>
      </c>
      <c r="BE10" s="13">
        <v>48.899993896484375</v>
      </c>
      <c r="BF10" s="13">
        <v>48.899993896484375</v>
      </c>
      <c r="BG10" s="13">
        <v>48.899993896484375</v>
      </c>
      <c r="BH10" s="15">
        <f>SUM(BA10:BG10)</f>
        <v>465.16398168945307</v>
      </c>
      <c r="BJ10" s="13">
        <v>101.5</v>
      </c>
      <c r="BK10" s="13">
        <v>88.19</v>
      </c>
      <c r="BL10" s="13">
        <v>88.18994140625</v>
      </c>
      <c r="BM10" s="13">
        <v>61.1</v>
      </c>
      <c r="BN10" s="13">
        <v>61.0999755859375</v>
      </c>
      <c r="BO10" s="13">
        <v>61.0999755859375</v>
      </c>
      <c r="BP10" s="13">
        <v>61.0999755859375</v>
      </c>
      <c r="BQ10" s="15">
        <f>SUM(BJ10:BP10)</f>
        <v>522.27986816406246</v>
      </c>
      <c r="BS10" s="13">
        <f>'Base de Datos'!BM39</f>
        <v>93.6</v>
      </c>
      <c r="BT10" s="13">
        <f>'Base de Datos'!BN39</f>
        <v>54.6</v>
      </c>
      <c r="BU10" s="13">
        <f>'Base de Datos'!BO39</f>
        <v>72.7</v>
      </c>
      <c r="BV10" s="13">
        <f>'Base de Datos'!BP39</f>
        <v>44.7</v>
      </c>
      <c r="BW10" s="13">
        <f>'Base de Datos'!BQ39</f>
        <v>0</v>
      </c>
      <c r="BX10" s="13">
        <f>'Base de Datos'!BR39</f>
        <v>0</v>
      </c>
      <c r="BY10" s="13">
        <f>'Base de Datos'!BS39</f>
        <v>0</v>
      </c>
      <c r="BZ10" s="15">
        <f>SUM(BS10:BY10)</f>
        <v>265.59999999999997</v>
      </c>
      <c r="CB10" s="13">
        <f>'Base de Datos'!BV39</f>
        <v>93</v>
      </c>
      <c r="CC10" s="13">
        <f>'Base de Datos'!BW39</f>
        <v>101</v>
      </c>
      <c r="CD10" s="13">
        <f>'Base de Datos'!BX39</f>
        <v>37.200000000000003</v>
      </c>
      <c r="CE10" s="13">
        <f>'Base de Datos'!BY39</f>
        <v>102.2</v>
      </c>
      <c r="CF10" s="13">
        <f>'Base de Datos'!BZ39</f>
        <v>6.5</v>
      </c>
      <c r="CG10" s="13">
        <f>'Base de Datos'!CA39</f>
        <v>0</v>
      </c>
      <c r="CH10" s="13">
        <f>'Base de Datos'!CB39</f>
        <v>0</v>
      </c>
      <c r="CI10" s="15">
        <f>SUM(CB10:CH10)</f>
        <v>339.9</v>
      </c>
      <c r="CK10" s="13">
        <f>'Base de Datos'!CE39</f>
        <v>84</v>
      </c>
      <c r="CL10" s="13">
        <f>'Base de Datos'!CF39</f>
        <v>68.8</v>
      </c>
      <c r="CM10" s="13">
        <f>'Base de Datos'!CG39</f>
        <v>107.6</v>
      </c>
      <c r="CN10" s="13">
        <f>'Base de Datos'!CH39</f>
        <v>64.400000000000006</v>
      </c>
      <c r="CO10" s="13">
        <f>'Base de Datos'!CI39</f>
        <v>0</v>
      </c>
      <c r="CP10" s="13">
        <f>'Base de Datos'!CJ39</f>
        <v>0</v>
      </c>
      <c r="CQ10" s="13">
        <f>'Base de Datos'!CK39</f>
        <v>0</v>
      </c>
      <c r="CR10" s="15">
        <f>SUM(CK10:CQ10)</f>
        <v>324.79999999999995</v>
      </c>
    </row>
    <row r="11" spans="1:396" ht="15" customHeight="1" x14ac:dyDescent="0.25">
      <c r="B11" s="16" t="s">
        <v>20</v>
      </c>
      <c r="C11" s="906" t="s">
        <v>19</v>
      </c>
      <c r="D11" s="907"/>
      <c r="E11" s="907"/>
      <c r="F11" s="17"/>
      <c r="H11" s="18">
        <v>13.32</v>
      </c>
      <c r="I11" s="19">
        <v>17.922000000000001</v>
      </c>
      <c r="J11" s="19">
        <v>16.5</v>
      </c>
      <c r="K11" s="19">
        <v>10.9</v>
      </c>
      <c r="L11" s="19">
        <v>4.7</v>
      </c>
      <c r="M11" s="19">
        <v>0</v>
      </c>
      <c r="N11" s="19">
        <v>0</v>
      </c>
      <c r="O11" s="20">
        <f>SUM(H11:N11)</f>
        <v>63.342000000000006</v>
      </c>
      <c r="Q11" s="18">
        <v>6</v>
      </c>
      <c r="R11" s="18">
        <v>14.53</v>
      </c>
      <c r="S11" s="18">
        <v>6.556</v>
      </c>
      <c r="T11" s="18">
        <v>13.2</v>
      </c>
      <c r="U11" s="18">
        <v>13.199996948242188</v>
      </c>
      <c r="V11" s="18">
        <v>13.199996948242188</v>
      </c>
      <c r="W11" s="18">
        <v>13.199996948242188</v>
      </c>
      <c r="X11" s="20">
        <f>SUM(Q11:W11)</f>
        <v>79.885990844726564</v>
      </c>
      <c r="Z11" s="18">
        <v>0</v>
      </c>
      <c r="AA11" s="18">
        <v>7.8</v>
      </c>
      <c r="AB11" s="18">
        <v>16.3</v>
      </c>
      <c r="AC11" s="18">
        <v>11.9</v>
      </c>
      <c r="AD11" s="18">
        <v>11.899993896484375</v>
      </c>
      <c r="AE11" s="18">
        <v>11.899993896484375</v>
      </c>
      <c r="AF11" s="18">
        <v>11.899993896484375</v>
      </c>
      <c r="AG11" s="20">
        <f>SUM(Z11:AF11)</f>
        <v>71.699981689453125</v>
      </c>
      <c r="AI11" s="18">
        <v>16.61</v>
      </c>
      <c r="AJ11" s="18">
        <v>15.388999999999999</v>
      </c>
      <c r="AK11" s="18">
        <v>6.47</v>
      </c>
      <c r="AL11" s="18">
        <v>2.8</v>
      </c>
      <c r="AM11" s="18">
        <v>0</v>
      </c>
      <c r="AN11" s="18">
        <v>0</v>
      </c>
      <c r="AO11" s="18">
        <v>0</v>
      </c>
      <c r="AP11" s="20">
        <f>SUM(AI11:AO11)</f>
        <v>41.268999999999998</v>
      </c>
      <c r="AR11" s="18">
        <v>0</v>
      </c>
      <c r="AS11" s="18">
        <v>13.2</v>
      </c>
      <c r="AT11" s="18">
        <v>15.03</v>
      </c>
      <c r="AU11" s="18">
        <v>14.7</v>
      </c>
      <c r="AV11" s="18">
        <v>0</v>
      </c>
      <c r="AW11" s="18">
        <v>0</v>
      </c>
      <c r="AX11" s="18">
        <v>0</v>
      </c>
      <c r="AY11" s="20">
        <f>SUM(AR11:AX11)</f>
        <v>42.929999999999993</v>
      </c>
      <c r="BA11" s="18">
        <v>0</v>
      </c>
      <c r="BB11" s="18">
        <v>15.103</v>
      </c>
      <c r="BC11" s="18">
        <v>19.8</v>
      </c>
      <c r="BD11" s="18">
        <v>13.9</v>
      </c>
      <c r="BE11" s="18">
        <v>2.6</v>
      </c>
      <c r="BF11" s="18">
        <v>2.5999984741210937</v>
      </c>
      <c r="BG11" s="18">
        <v>2.5999984741210937</v>
      </c>
      <c r="BH11" s="20">
        <f>SUM(BA11:BG11)</f>
        <v>56.602996948242186</v>
      </c>
      <c r="BJ11" s="18">
        <v>14.6</v>
      </c>
      <c r="BK11" s="18">
        <v>19.43</v>
      </c>
      <c r="BL11" s="18">
        <v>19.42999267578125</v>
      </c>
      <c r="BM11" s="18">
        <v>9.0760000000000005</v>
      </c>
      <c r="BN11" s="18">
        <v>9.0759963989257812</v>
      </c>
      <c r="BO11" s="18">
        <v>9.0759963989257812</v>
      </c>
      <c r="BP11" s="18">
        <v>9.0759963989257812</v>
      </c>
      <c r="BQ11" s="20">
        <f>SUM(BJ11:BP11)</f>
        <v>89.763981872558588</v>
      </c>
      <c r="BS11" s="18">
        <f>'Base de Datos'!BM40</f>
        <v>4.5999999999999996</v>
      </c>
      <c r="BT11" s="18">
        <f>'Base de Datos'!BN40</f>
        <v>0</v>
      </c>
      <c r="BU11" s="18">
        <f>'Base de Datos'!BO40</f>
        <v>0</v>
      </c>
      <c r="BV11" s="18">
        <f>'Base de Datos'!BP40</f>
        <v>0</v>
      </c>
      <c r="BW11" s="18">
        <f>'Base de Datos'!BQ40</f>
        <v>0</v>
      </c>
      <c r="BX11" s="18">
        <f>'Base de Datos'!BR40</f>
        <v>0</v>
      </c>
      <c r="BY11" s="18">
        <f>'Base de Datos'!BS40</f>
        <v>0</v>
      </c>
      <c r="BZ11" s="20">
        <f t="shared" ref="BZ11:BZ13" si="0">SUM(BS11:BY11)</f>
        <v>4.5999999999999996</v>
      </c>
      <c r="CB11" s="18">
        <f>'Base de Datos'!BV40</f>
        <v>0</v>
      </c>
      <c r="CC11" s="18">
        <f>'Base de Datos'!BW40</f>
        <v>0</v>
      </c>
      <c r="CD11" s="18">
        <f>'Base de Datos'!BX40</f>
        <v>0</v>
      </c>
      <c r="CE11" s="18">
        <f>'Base de Datos'!BY40</f>
        <v>0</v>
      </c>
      <c r="CF11" s="18">
        <f>'Base de Datos'!BZ40</f>
        <v>0</v>
      </c>
      <c r="CG11" s="18">
        <f>'Base de Datos'!CA40</f>
        <v>0</v>
      </c>
      <c r="CH11" s="18">
        <f>'Base de Datos'!CB40</f>
        <v>0</v>
      </c>
      <c r="CI11" s="20">
        <f t="shared" ref="CI11:CI13" si="1">SUM(CB11:CH11)</f>
        <v>0</v>
      </c>
      <c r="CK11" s="18">
        <f>'Base de Datos'!CE40</f>
        <v>13.14</v>
      </c>
      <c r="CL11" s="18">
        <f>'Base de Datos'!CF40</f>
        <v>15.9</v>
      </c>
      <c r="CM11" s="18">
        <f>'Base de Datos'!CG40</f>
        <v>15.2</v>
      </c>
      <c r="CN11" s="18">
        <f>'Base de Datos'!CH40</f>
        <v>13.1</v>
      </c>
      <c r="CO11" s="18">
        <f>'Base de Datos'!CI40</f>
        <v>0</v>
      </c>
      <c r="CP11" s="18">
        <f>'Base de Datos'!CJ40</f>
        <v>1.75</v>
      </c>
      <c r="CQ11" s="18">
        <f>'Base de Datos'!CK40</f>
        <v>0</v>
      </c>
      <c r="CR11" s="20">
        <f t="shared" ref="CR11:CR13" si="2">SUM(CK11:CQ11)</f>
        <v>59.089999999999996</v>
      </c>
    </row>
    <row r="12" spans="1:396" ht="15" customHeight="1" x14ac:dyDescent="0.25">
      <c r="B12" s="16" t="s">
        <v>21</v>
      </c>
      <c r="C12" s="906" t="s">
        <v>22</v>
      </c>
      <c r="D12" s="907"/>
      <c r="E12" s="907"/>
      <c r="F12" s="17"/>
      <c r="H12" s="18">
        <v>12.8</v>
      </c>
      <c r="I12" s="19">
        <v>37.799999999999997</v>
      </c>
      <c r="J12" s="19">
        <v>27.9</v>
      </c>
      <c r="K12" s="19">
        <v>11.2</v>
      </c>
      <c r="L12" s="19">
        <v>2.6</v>
      </c>
      <c r="M12" s="19">
        <v>0</v>
      </c>
      <c r="N12" s="19">
        <v>0</v>
      </c>
      <c r="O12" s="20">
        <f>SUM(H12:N12)</f>
        <v>92.3</v>
      </c>
      <c r="Q12" s="18">
        <v>3.8</v>
      </c>
      <c r="R12" s="18">
        <v>37.6</v>
      </c>
      <c r="S12" s="18">
        <v>41.2</v>
      </c>
      <c r="T12" s="18">
        <v>28.7</v>
      </c>
      <c r="U12" s="18">
        <v>12.6</v>
      </c>
      <c r="V12" s="18">
        <v>12.599998474121094</v>
      </c>
      <c r="W12" s="18">
        <v>12.599998474121094</v>
      </c>
      <c r="X12" s="20">
        <f>SUM(Q12:W12)</f>
        <v>149.09999694824216</v>
      </c>
      <c r="Z12" s="18">
        <v>28.2</v>
      </c>
      <c r="AA12" s="18">
        <v>34.799999999999997</v>
      </c>
      <c r="AB12" s="18">
        <v>33.299999999999997</v>
      </c>
      <c r="AC12" s="18">
        <v>27.2</v>
      </c>
      <c r="AD12" s="18">
        <v>4.4000000000000004</v>
      </c>
      <c r="AE12" s="18">
        <v>4.3999977111816406</v>
      </c>
      <c r="AF12" s="18">
        <v>4.3999977111816406</v>
      </c>
      <c r="AG12" s="20">
        <f>SUM(Z12:AF12)</f>
        <v>136.69999542236329</v>
      </c>
      <c r="AI12" s="18">
        <v>30.3</v>
      </c>
      <c r="AJ12" s="18">
        <v>46.1</v>
      </c>
      <c r="AK12" s="18">
        <v>46.9</v>
      </c>
      <c r="AL12" s="18">
        <v>25</v>
      </c>
      <c r="AM12" s="18">
        <v>4.4000000000000004</v>
      </c>
      <c r="AN12" s="18">
        <v>0</v>
      </c>
      <c r="AO12" s="18">
        <v>0</v>
      </c>
      <c r="AP12" s="20">
        <f>SUM(AI12:AO12)</f>
        <v>152.70000000000002</v>
      </c>
      <c r="AR12" s="18">
        <v>0</v>
      </c>
      <c r="AS12" s="18">
        <v>35.299999999999997</v>
      </c>
      <c r="AT12" s="18">
        <v>37.200000000000003</v>
      </c>
      <c r="AU12" s="18">
        <v>23.6</v>
      </c>
      <c r="AV12" s="18">
        <v>8.1</v>
      </c>
      <c r="AW12" s="18">
        <v>1.2</v>
      </c>
      <c r="AX12" s="18">
        <v>1.1999998092651367</v>
      </c>
      <c r="AY12" s="20">
        <f>SUM(AR12:AX12)</f>
        <v>106.59999980926513</v>
      </c>
      <c r="BA12" s="18">
        <v>25.5</v>
      </c>
      <c r="BB12" s="18">
        <v>36.4</v>
      </c>
      <c r="BC12" s="18">
        <v>30</v>
      </c>
      <c r="BD12" s="18">
        <v>24.6</v>
      </c>
      <c r="BE12" s="18">
        <v>9.1999999999999993</v>
      </c>
      <c r="BF12" s="18">
        <v>9.1999969482421875</v>
      </c>
      <c r="BG12" s="18">
        <v>9.1999969482421875</v>
      </c>
      <c r="BH12" s="20">
        <f>SUM(BA12:BG12)</f>
        <v>144.09999389648436</v>
      </c>
      <c r="BJ12" s="18">
        <v>31</v>
      </c>
      <c r="BK12" s="18">
        <v>44.2</v>
      </c>
      <c r="BL12" s="18">
        <v>45.8</v>
      </c>
      <c r="BM12" s="18">
        <v>26.2</v>
      </c>
      <c r="BN12" s="18">
        <v>0.5</v>
      </c>
      <c r="BO12" s="18">
        <v>0</v>
      </c>
      <c r="BP12" s="18">
        <v>0</v>
      </c>
      <c r="BQ12" s="20">
        <f>SUM(BJ12:BP12)</f>
        <v>147.69999999999999</v>
      </c>
      <c r="BS12" s="18">
        <f>'Base de Datos'!BM3</f>
        <v>23.6</v>
      </c>
      <c r="BT12" s="18">
        <f>'Base de Datos'!BN3</f>
        <v>39.799999999999997</v>
      </c>
      <c r="BU12" s="18">
        <f>'Base de Datos'!BO3</f>
        <v>31.7</v>
      </c>
      <c r="BV12" s="18">
        <f>'Base de Datos'!BP3</f>
        <v>25.6</v>
      </c>
      <c r="BW12" s="18">
        <f>'Base de Datos'!BQ3</f>
        <v>15.5</v>
      </c>
      <c r="BX12" s="18">
        <f>'Base de Datos'!BR3</f>
        <v>1.4</v>
      </c>
      <c r="BY12" s="18">
        <f>'Base de Datos'!BS3</f>
        <v>0</v>
      </c>
      <c r="BZ12" s="20">
        <f t="shared" si="0"/>
        <v>137.6</v>
      </c>
      <c r="CB12" s="18">
        <f>'Base de Datos'!BV3</f>
        <v>34.299999999999997</v>
      </c>
      <c r="CC12" s="18">
        <f>'Base de Datos'!BW3</f>
        <v>43.4</v>
      </c>
      <c r="CD12" s="18">
        <f>'Base de Datos'!BX3</f>
        <v>42</v>
      </c>
      <c r="CE12" s="18">
        <f>'Base de Datos'!BY3</f>
        <v>30.2</v>
      </c>
      <c r="CF12" s="18">
        <f>'Base de Datos'!BZ3</f>
        <v>12</v>
      </c>
      <c r="CG12" s="18">
        <f>'Base de Datos'!CA3</f>
        <v>7.9</v>
      </c>
      <c r="CH12" s="18">
        <f>'Base de Datos'!CB3</f>
        <v>7.7</v>
      </c>
      <c r="CI12" s="20">
        <f t="shared" si="1"/>
        <v>177.49999999999997</v>
      </c>
      <c r="CK12" s="18">
        <f>'Base de Datos'!CE3</f>
        <v>29.8</v>
      </c>
      <c r="CL12" s="18">
        <f>'Base de Datos'!CF3</f>
        <v>41.4</v>
      </c>
      <c r="CM12" s="18">
        <f>'Base de Datos'!CG3</f>
        <v>40.299999999999997</v>
      </c>
      <c r="CN12" s="18">
        <f>'Base de Datos'!CH3</f>
        <v>40.4</v>
      </c>
      <c r="CO12" s="18">
        <f>'Base de Datos'!CI3</f>
        <v>20.100000000000001</v>
      </c>
      <c r="CP12" s="18">
        <f>'Base de Datos'!CJ3</f>
        <v>17</v>
      </c>
      <c r="CQ12" s="18">
        <f>'Base de Datos'!CK3</f>
        <v>15.1</v>
      </c>
      <c r="CR12" s="20">
        <f t="shared" si="2"/>
        <v>204.1</v>
      </c>
    </row>
    <row r="13" spans="1:396" ht="15" customHeight="1" thickBot="1" x14ac:dyDescent="0.3">
      <c r="B13" s="21" t="s">
        <v>23</v>
      </c>
      <c r="C13" s="908" t="s">
        <v>22</v>
      </c>
      <c r="D13" s="909"/>
      <c r="E13" s="909"/>
      <c r="F13" s="22"/>
      <c r="H13" s="23">
        <v>9.4</v>
      </c>
      <c r="I13" s="24">
        <v>31.9</v>
      </c>
      <c r="J13" s="24">
        <v>41.300000000000004</v>
      </c>
      <c r="K13" s="24">
        <v>34.9</v>
      </c>
      <c r="L13" s="24">
        <v>27.4</v>
      </c>
      <c r="M13" s="24">
        <v>2.4</v>
      </c>
      <c r="N13" s="24">
        <v>0</v>
      </c>
      <c r="O13" s="25">
        <f>SUM(H13:N13)</f>
        <v>147.30000000000001</v>
      </c>
      <c r="Q13" s="23">
        <v>31.3</v>
      </c>
      <c r="R13" s="23">
        <v>45</v>
      </c>
      <c r="S13" s="23">
        <v>42.1</v>
      </c>
      <c r="T13" s="23">
        <v>37.799999999999997</v>
      </c>
      <c r="U13" s="23">
        <v>25.8</v>
      </c>
      <c r="V13" s="23">
        <v>6.1</v>
      </c>
      <c r="W13" s="23">
        <v>6.0999984741210937</v>
      </c>
      <c r="X13" s="25">
        <f>SUM(Q13:W13)</f>
        <v>194.19999847412109</v>
      </c>
      <c r="Z13" s="23">
        <v>11</v>
      </c>
      <c r="AA13" s="23">
        <v>44.2</v>
      </c>
      <c r="AB13" s="23">
        <v>36.799999999999997</v>
      </c>
      <c r="AC13" s="23">
        <v>25.9</v>
      </c>
      <c r="AD13" s="23">
        <v>19.100000000000001</v>
      </c>
      <c r="AE13" s="23">
        <v>1.7</v>
      </c>
      <c r="AF13" s="23">
        <v>1.6999998092651367</v>
      </c>
      <c r="AG13" s="25">
        <f>SUM(Z13:AF13)</f>
        <v>140.39999980926513</v>
      </c>
      <c r="AI13" s="23">
        <v>11.1</v>
      </c>
      <c r="AJ13" s="23">
        <v>34.1</v>
      </c>
      <c r="AK13" s="23">
        <v>12.6</v>
      </c>
      <c r="AL13" s="23">
        <v>23.2</v>
      </c>
      <c r="AM13" s="23">
        <v>19.100000000000001</v>
      </c>
      <c r="AN13" s="23">
        <v>1.7</v>
      </c>
      <c r="AO13" s="23">
        <v>1.6999998092651367</v>
      </c>
      <c r="AP13" s="25">
        <f>SUM(AI13:AO13)</f>
        <v>103.49999980926513</v>
      </c>
      <c r="AR13" s="23">
        <v>1.6999998092651367</v>
      </c>
      <c r="AS13" s="23">
        <v>34</v>
      </c>
      <c r="AT13" s="23">
        <v>36.1</v>
      </c>
      <c r="AU13" s="23">
        <v>30.3</v>
      </c>
      <c r="AV13" s="23">
        <v>14.5</v>
      </c>
      <c r="AW13" s="23">
        <v>4.2</v>
      </c>
      <c r="AX13" s="23">
        <v>4.1999969482421875</v>
      </c>
      <c r="AY13" s="25">
        <f>SUM(AR13:AX13)</f>
        <v>124.99999675750732</v>
      </c>
      <c r="BA13" s="23">
        <v>14.6</v>
      </c>
      <c r="BB13" s="23">
        <v>37.299999999999997</v>
      </c>
      <c r="BC13" s="23">
        <v>31.9</v>
      </c>
      <c r="BD13" s="23">
        <v>24.1</v>
      </c>
      <c r="BE13" s="23">
        <v>11.1</v>
      </c>
      <c r="BF13" s="23">
        <v>3.1</v>
      </c>
      <c r="BG13" s="23">
        <v>3.0999984741210938</v>
      </c>
      <c r="BH13" s="25">
        <f>SUM(BA13:BG13)</f>
        <v>125.19999847412109</v>
      </c>
      <c r="BJ13" s="23">
        <v>12.8</v>
      </c>
      <c r="BK13" s="23">
        <v>42.7</v>
      </c>
      <c r="BL13" s="23">
        <v>45.4</v>
      </c>
      <c r="BM13" s="23">
        <v>31.3</v>
      </c>
      <c r="BN13" s="23">
        <v>16.600000000000001</v>
      </c>
      <c r="BO13" s="23">
        <v>5.6</v>
      </c>
      <c r="BP13" s="23">
        <v>0</v>
      </c>
      <c r="BQ13" s="25">
        <f>SUM(BJ13:BP13)</f>
        <v>154.4</v>
      </c>
      <c r="BS13" s="23">
        <f>'Base de Datos'!BM21</f>
        <v>3.7</v>
      </c>
      <c r="BT13" s="23">
        <f>'Base de Datos'!BN21</f>
        <v>42.2</v>
      </c>
      <c r="BU13" s="23">
        <f>'Base de Datos'!BO21</f>
        <v>36.9</v>
      </c>
      <c r="BV13" s="23">
        <f>'Base de Datos'!BP21</f>
        <v>31.5</v>
      </c>
      <c r="BW13" s="23">
        <f>'Base de Datos'!BQ21</f>
        <v>21.1</v>
      </c>
      <c r="BX13" s="23">
        <f>'Base de Datos'!BR21</f>
        <v>12</v>
      </c>
      <c r="BY13" s="23">
        <f>'Base de Datos'!BS21</f>
        <v>0</v>
      </c>
      <c r="BZ13" s="25">
        <f t="shared" si="0"/>
        <v>147.4</v>
      </c>
      <c r="CB13" s="23">
        <f>'Base de Datos'!BV21</f>
        <v>1.9</v>
      </c>
      <c r="CC13" s="23">
        <f>'Base de Datos'!BW21</f>
        <v>43.8</v>
      </c>
      <c r="CD13" s="23">
        <f>'Base de Datos'!BX21</f>
        <v>38.299999999999997</v>
      </c>
      <c r="CE13" s="23">
        <f>'Base de Datos'!BY21</f>
        <v>28.7</v>
      </c>
      <c r="CF13" s="23">
        <f>'Base de Datos'!BZ21</f>
        <v>14.4</v>
      </c>
      <c r="CG13" s="23">
        <f>'Base de Datos'!CA21</f>
        <v>0</v>
      </c>
      <c r="CH13" s="23">
        <f>'Base de Datos'!CB21</f>
        <v>0</v>
      </c>
      <c r="CI13" s="25">
        <f t="shared" si="1"/>
        <v>127.10000000000001</v>
      </c>
      <c r="CK13" s="23">
        <f>'Base de Datos'!CE21</f>
        <v>19</v>
      </c>
      <c r="CL13" s="23">
        <f>'Base de Datos'!CF21</f>
        <v>43.8</v>
      </c>
      <c r="CM13" s="23">
        <f>'Base de Datos'!CG21</f>
        <v>37.700000000000003</v>
      </c>
      <c r="CN13" s="23">
        <f>'Base de Datos'!CH21</f>
        <v>18.2</v>
      </c>
      <c r="CO13" s="23">
        <f>'Base de Datos'!CI21</f>
        <v>7.5</v>
      </c>
      <c r="CP13" s="23">
        <f>'Base de Datos'!CJ21</f>
        <v>1.6</v>
      </c>
      <c r="CQ13" s="23">
        <f>'Base de Datos'!CK21</f>
        <v>0</v>
      </c>
      <c r="CR13" s="25">
        <f t="shared" si="2"/>
        <v>127.8</v>
      </c>
    </row>
    <row r="14" spans="1:396" ht="15" customHeight="1" thickBot="1" x14ac:dyDescent="0.3">
      <c r="B14" s="26"/>
      <c r="C14" s="27"/>
      <c r="D14" s="27"/>
      <c r="E14" s="26"/>
      <c r="F14" s="28"/>
      <c r="H14" s="29"/>
      <c r="I14" s="30"/>
      <c r="J14" s="30"/>
      <c r="K14" s="30"/>
      <c r="L14" s="30"/>
      <c r="M14" s="30"/>
      <c r="N14" s="30"/>
      <c r="O14" s="30"/>
      <c r="Q14" s="29"/>
      <c r="R14" s="30"/>
      <c r="S14" s="30"/>
      <c r="T14" s="30"/>
      <c r="U14" s="30"/>
      <c r="V14" s="30"/>
      <c r="W14" s="30"/>
      <c r="X14" s="30"/>
      <c r="Z14" s="29"/>
      <c r="AA14" s="30"/>
      <c r="AB14" s="30"/>
      <c r="AC14" s="30"/>
      <c r="AD14" s="30"/>
      <c r="AE14" s="30"/>
      <c r="AF14" s="30"/>
      <c r="AG14" s="30"/>
      <c r="AI14" s="29"/>
      <c r="AJ14" s="30"/>
      <c r="AK14" s="30"/>
      <c r="AL14" s="30"/>
      <c r="AM14" s="30"/>
      <c r="AN14" s="30"/>
      <c r="AO14" s="30"/>
      <c r="AP14" s="30"/>
      <c r="AR14" s="29"/>
      <c r="AS14" s="30"/>
      <c r="AT14" s="30"/>
      <c r="AU14" s="30"/>
      <c r="AV14" s="30"/>
      <c r="AW14" s="30"/>
      <c r="AX14" s="30"/>
      <c r="AY14" s="30"/>
      <c r="BA14" s="29"/>
      <c r="BB14" s="30"/>
      <c r="BC14" s="30"/>
      <c r="BD14" s="30"/>
      <c r="BE14" s="30"/>
      <c r="BF14" s="30"/>
      <c r="BG14" s="30"/>
      <c r="BH14" s="30"/>
      <c r="BJ14" s="29"/>
      <c r="BK14" s="30"/>
      <c r="BL14" s="30"/>
      <c r="BM14" s="30"/>
      <c r="BN14" s="30"/>
      <c r="BO14" s="30"/>
      <c r="BP14" s="30"/>
      <c r="BQ14" s="30"/>
      <c r="BS14" s="29"/>
      <c r="BT14" s="30"/>
      <c r="BU14" s="30"/>
      <c r="BV14" s="30"/>
      <c r="BW14" s="30"/>
      <c r="BX14" s="30"/>
      <c r="BY14" s="30"/>
      <c r="BZ14" s="30"/>
      <c r="CB14" s="29"/>
      <c r="CC14" s="30"/>
      <c r="CD14" s="30"/>
      <c r="CE14" s="30"/>
      <c r="CF14" s="30"/>
      <c r="CG14" s="30"/>
      <c r="CH14" s="30"/>
      <c r="CI14" s="30"/>
      <c r="CK14" s="29"/>
      <c r="CL14" s="30"/>
      <c r="CM14" s="30"/>
      <c r="CN14" s="30"/>
      <c r="CO14" s="30"/>
      <c r="CP14" s="30"/>
      <c r="CQ14" s="30"/>
      <c r="CR14" s="30"/>
    </row>
    <row r="15" spans="1:396" s="31" customFormat="1" ht="15" customHeight="1" thickBot="1" x14ac:dyDescent="0.3">
      <c r="B15" s="910" t="s">
        <v>24</v>
      </c>
      <c r="C15" s="911"/>
      <c r="D15" s="911"/>
      <c r="E15" s="911"/>
      <c r="F15" s="912"/>
      <c r="H15" s="881"/>
      <c r="I15" s="882"/>
      <c r="J15" s="882"/>
      <c r="K15" s="882"/>
      <c r="L15" s="882"/>
      <c r="M15" s="882"/>
      <c r="N15" s="882"/>
      <c r="O15" s="883"/>
      <c r="Q15" s="881"/>
      <c r="R15" s="882"/>
      <c r="S15" s="882"/>
      <c r="T15" s="882"/>
      <c r="U15" s="882"/>
      <c r="V15" s="882"/>
      <c r="W15" s="882"/>
      <c r="X15" s="883"/>
      <c r="Z15" s="881"/>
      <c r="AA15" s="882"/>
      <c r="AB15" s="882"/>
      <c r="AC15" s="882"/>
      <c r="AD15" s="882"/>
      <c r="AE15" s="882"/>
      <c r="AF15" s="882"/>
      <c r="AG15" s="883"/>
      <c r="AI15" s="881"/>
      <c r="AJ15" s="882"/>
      <c r="AK15" s="882"/>
      <c r="AL15" s="882"/>
      <c r="AM15" s="882"/>
      <c r="AN15" s="882"/>
      <c r="AO15" s="882"/>
      <c r="AP15" s="883"/>
      <c r="AR15" s="881"/>
      <c r="AS15" s="882"/>
      <c r="AT15" s="882"/>
      <c r="AU15" s="882"/>
      <c r="AV15" s="882"/>
      <c r="AW15" s="882"/>
      <c r="AX15" s="882"/>
      <c r="AY15" s="883"/>
      <c r="BA15" s="881"/>
      <c r="BB15" s="882"/>
      <c r="BC15" s="882"/>
      <c r="BD15" s="882"/>
      <c r="BE15" s="882"/>
      <c r="BF15" s="882"/>
      <c r="BG15" s="882"/>
      <c r="BH15" s="883"/>
      <c r="BJ15" s="881"/>
      <c r="BK15" s="882"/>
      <c r="BL15" s="882"/>
      <c r="BM15" s="882"/>
      <c r="BN15" s="882"/>
      <c r="BO15" s="882"/>
      <c r="BP15" s="882"/>
      <c r="BQ15" s="883"/>
      <c r="BS15" s="881"/>
      <c r="BT15" s="882"/>
      <c r="BU15" s="882"/>
      <c r="BV15" s="882"/>
      <c r="BW15" s="882"/>
      <c r="BX15" s="882"/>
      <c r="BY15" s="882"/>
      <c r="BZ15" s="883"/>
      <c r="CB15" s="881"/>
      <c r="CC15" s="882"/>
      <c r="CD15" s="882"/>
      <c r="CE15" s="882"/>
      <c r="CF15" s="882"/>
      <c r="CG15" s="882"/>
      <c r="CH15" s="882"/>
      <c r="CI15" s="883"/>
      <c r="CK15" s="881"/>
      <c r="CL15" s="882"/>
      <c r="CM15" s="882"/>
      <c r="CN15" s="882"/>
      <c r="CO15" s="882"/>
      <c r="CP15" s="882"/>
      <c r="CQ15" s="882"/>
      <c r="CR15" s="883"/>
    </row>
    <row r="16" spans="1:396" s="31" customFormat="1" ht="15" customHeight="1" x14ac:dyDescent="0.25">
      <c r="B16" s="32" t="s">
        <v>25</v>
      </c>
      <c r="C16" s="902" t="s">
        <v>26</v>
      </c>
      <c r="D16" s="902"/>
      <c r="E16" s="902"/>
      <c r="F16" s="33"/>
      <c r="H16" s="34">
        <v>50962.229999999996</v>
      </c>
      <c r="I16" s="35">
        <v>133130.22</v>
      </c>
      <c r="J16" s="35">
        <v>86267.82</v>
      </c>
      <c r="K16" s="35">
        <v>80470.39</v>
      </c>
      <c r="L16" s="35">
        <v>67051.149999999994</v>
      </c>
      <c r="M16" s="35">
        <v>36277.300000000003</v>
      </c>
      <c r="N16" s="35">
        <v>22750.639999999999</v>
      </c>
      <c r="O16" s="36">
        <f>SUM(H16:N16)</f>
        <v>476909.75000000006</v>
      </c>
      <c r="Q16" s="37">
        <v>76641.62</v>
      </c>
      <c r="R16" s="37">
        <v>86635.47</v>
      </c>
      <c r="S16" s="37">
        <v>86975.1</v>
      </c>
      <c r="T16" s="37">
        <v>80675.489999999991</v>
      </c>
      <c r="U16" s="37">
        <v>66952.539999999994</v>
      </c>
      <c r="V16" s="37">
        <v>35819.57</v>
      </c>
      <c r="W16" s="37">
        <v>22050.43</v>
      </c>
      <c r="X16" s="20">
        <f>SUM(Q16:W16)</f>
        <v>455750.22</v>
      </c>
      <c r="Z16" s="37">
        <v>80810.58</v>
      </c>
      <c r="AA16" s="37">
        <v>90258.9</v>
      </c>
      <c r="AB16" s="37">
        <v>86886.11</v>
      </c>
      <c r="AC16" s="37">
        <v>82880.789999999994</v>
      </c>
      <c r="AD16" s="37">
        <v>65137.78</v>
      </c>
      <c r="AE16" s="37">
        <v>34518.300000000003</v>
      </c>
      <c r="AF16" s="37">
        <v>24238.400000000001</v>
      </c>
      <c r="AG16" s="20">
        <f>SUM(Z16:AF16)</f>
        <v>464730.85999999993</v>
      </c>
      <c r="AI16" s="38">
        <v>82447.78</v>
      </c>
      <c r="AJ16" s="39">
        <v>92666.66</v>
      </c>
      <c r="AK16" s="39">
        <v>91671.89</v>
      </c>
      <c r="AL16" s="39">
        <v>77786.649999999994</v>
      </c>
      <c r="AM16" s="39">
        <v>57061.09</v>
      </c>
      <c r="AN16" s="39">
        <v>31752</v>
      </c>
      <c r="AO16" s="39">
        <v>18573.43</v>
      </c>
      <c r="AP16" s="40">
        <f>SUM(AI16:AO16)</f>
        <v>451959.49999999994</v>
      </c>
      <c r="AR16" s="38">
        <v>17830.97</v>
      </c>
      <c r="AS16" s="38">
        <v>88895.959999999992</v>
      </c>
      <c r="AT16" s="38">
        <v>78349.26999999999</v>
      </c>
      <c r="AU16" s="38">
        <v>52610.9</v>
      </c>
      <c r="AV16" s="38">
        <v>89164.04</v>
      </c>
      <c r="AW16" s="38">
        <v>37525.19</v>
      </c>
      <c r="AX16" s="38">
        <v>24827.05</v>
      </c>
      <c r="AY16" s="40">
        <f>SUM(AR16:AX16)</f>
        <v>389203.37999999995</v>
      </c>
      <c r="BA16" s="38">
        <v>24827.046875</v>
      </c>
      <c r="BB16" s="38">
        <v>84799.450000000012</v>
      </c>
      <c r="BC16" s="38">
        <v>81528.320000000007</v>
      </c>
      <c r="BD16" s="38">
        <v>73940.989999999991</v>
      </c>
      <c r="BE16" s="38">
        <v>57676.04</v>
      </c>
      <c r="BF16" s="38">
        <v>26421.449999999997</v>
      </c>
      <c r="BG16" s="38">
        <v>18752.93</v>
      </c>
      <c r="BH16" s="15">
        <f>SUM(BA16:BG16)</f>
        <v>367946.22687499999</v>
      </c>
      <c r="BJ16" s="38">
        <v>89050.1</v>
      </c>
      <c r="BK16" s="38">
        <v>99079.35</v>
      </c>
      <c r="BL16" s="38">
        <v>86178.2</v>
      </c>
      <c r="BM16" s="38">
        <v>78337.91</v>
      </c>
      <c r="BN16" s="38">
        <v>57149.95</v>
      </c>
      <c r="BO16" s="38">
        <v>31260.440000000002</v>
      </c>
      <c r="BP16" s="38">
        <v>20871.599999999999</v>
      </c>
      <c r="BQ16" s="15">
        <f>SUM(BJ16:BP16)</f>
        <v>461927.55000000005</v>
      </c>
      <c r="BS16" s="38">
        <f>'Base de Datos'!BM82</f>
        <v>85487.739999999991</v>
      </c>
      <c r="BT16" s="38">
        <f>'Base de Datos'!BN82</f>
        <v>94757.119999999995</v>
      </c>
      <c r="BU16" s="38">
        <f>'Base de Datos'!BO82</f>
        <v>86068.73000000001</v>
      </c>
      <c r="BV16" s="38">
        <f>'Base de Datos'!BP82</f>
        <v>78806.959999999992</v>
      </c>
      <c r="BW16" s="38">
        <f>'Base de Datos'!BQ82</f>
        <v>65184.880000000005</v>
      </c>
      <c r="BX16" s="38">
        <f>'Base de Datos'!BR82</f>
        <v>44997.66</v>
      </c>
      <c r="BY16" s="38">
        <f>'Base de Datos'!BS82</f>
        <v>22836.21</v>
      </c>
      <c r="BZ16" s="15">
        <f>SUM(BS16:BY16)</f>
        <v>478139.3</v>
      </c>
      <c r="CB16" s="38">
        <f>'Base de Datos'!BV82</f>
        <v>74377.850000000006</v>
      </c>
      <c r="CC16" s="38">
        <f>'Base de Datos'!BW82</f>
        <v>62722.95</v>
      </c>
      <c r="CD16" s="38">
        <f>'Base de Datos'!BX82</f>
        <v>130118.31999999999</v>
      </c>
      <c r="CE16" s="38">
        <f>'Base de Datos'!BY82</f>
        <v>81978.17</v>
      </c>
      <c r="CF16" s="38">
        <f>'Base de Datos'!BZ82</f>
        <v>61169.899999999994</v>
      </c>
      <c r="CG16" s="38">
        <f>'Base de Datos'!CA82</f>
        <v>31420.29</v>
      </c>
      <c r="CH16" s="38">
        <f>'Base de Datos'!CB82</f>
        <v>22924.629999999997</v>
      </c>
      <c r="CI16" s="15">
        <f>SUM(CB16:CH16)</f>
        <v>464712.10999999993</v>
      </c>
      <c r="CK16" s="38">
        <f>'Base de Datos'!CE82</f>
        <v>48145.75</v>
      </c>
      <c r="CL16" s="38">
        <f>'Base de Datos'!CF82</f>
        <v>109798.51999999999</v>
      </c>
      <c r="CM16" s="38">
        <f>'Base de Datos'!CG82</f>
        <v>95896.9</v>
      </c>
      <c r="CN16" s="38">
        <f>'Base de Datos'!CH82</f>
        <v>85182.540000000008</v>
      </c>
      <c r="CO16" s="38">
        <f>'Base de Datos'!CI82</f>
        <v>70048</v>
      </c>
      <c r="CP16" s="38">
        <f>'Base de Datos'!CJ82</f>
        <v>49089</v>
      </c>
      <c r="CQ16" s="38">
        <f>'Base de Datos'!CK82</f>
        <v>27318</v>
      </c>
      <c r="CR16" s="15">
        <f>SUM(CK16:CQ16)</f>
        <v>485478.70999999996</v>
      </c>
    </row>
    <row r="17" spans="1:96" s="31" customFormat="1" ht="15" customHeight="1" x14ac:dyDescent="0.25">
      <c r="B17" s="41" t="s">
        <v>27</v>
      </c>
      <c r="C17" s="903" t="s">
        <v>28</v>
      </c>
      <c r="D17" s="903"/>
      <c r="E17" s="903"/>
      <c r="F17" s="42"/>
      <c r="H17" s="37">
        <v>11493</v>
      </c>
      <c r="I17" s="43">
        <v>11965</v>
      </c>
      <c r="J17" s="43">
        <v>9796.9</v>
      </c>
      <c r="K17" s="43">
        <v>8900</v>
      </c>
      <c r="L17" s="43">
        <v>5102</v>
      </c>
      <c r="M17" s="43">
        <v>1758</v>
      </c>
      <c r="N17" s="43">
        <v>1418</v>
      </c>
      <c r="O17" s="40">
        <f>SUM(H17:N17)</f>
        <v>50432.9</v>
      </c>
      <c r="Q17" s="37">
        <v>9722</v>
      </c>
      <c r="R17" s="37">
        <v>9201</v>
      </c>
      <c r="S17" s="37">
        <v>9019</v>
      </c>
      <c r="T17" s="37">
        <v>9134</v>
      </c>
      <c r="U17" s="37">
        <v>4700</v>
      </c>
      <c r="V17" s="37">
        <v>1877</v>
      </c>
      <c r="W17" s="37">
        <v>1418</v>
      </c>
      <c r="X17" s="20">
        <f>SUM(Q17:W17)</f>
        <v>45071</v>
      </c>
      <c r="Z17" s="37">
        <v>8525</v>
      </c>
      <c r="AA17" s="37">
        <v>11855</v>
      </c>
      <c r="AB17" s="37">
        <v>10658</v>
      </c>
      <c r="AC17" s="37">
        <v>9174</v>
      </c>
      <c r="AD17" s="37">
        <v>7226</v>
      </c>
      <c r="AE17" s="37">
        <v>1148</v>
      </c>
      <c r="AF17" s="37">
        <v>1599</v>
      </c>
      <c r="AG17" s="20">
        <f>SUM(Z17:AF17)</f>
        <v>50185</v>
      </c>
      <c r="AI17" s="44">
        <v>10994</v>
      </c>
      <c r="AJ17" s="45">
        <v>9828</v>
      </c>
      <c r="AK17" s="45">
        <v>10446</v>
      </c>
      <c r="AL17" s="45">
        <v>7297</v>
      </c>
      <c r="AM17" s="45">
        <v>3962.049</v>
      </c>
      <c r="AN17" s="45">
        <v>1992.067</v>
      </c>
      <c r="AO17" s="45">
        <v>764.14099999999996</v>
      </c>
      <c r="AP17" s="40">
        <f>SUM(AI17:AO17)</f>
        <v>45283.257000000005</v>
      </c>
      <c r="AR17" s="44">
        <v>905.48500000000001</v>
      </c>
      <c r="AS17" s="44">
        <v>11219</v>
      </c>
      <c r="AT17" s="44">
        <v>10654</v>
      </c>
      <c r="AU17" s="44">
        <v>12147</v>
      </c>
      <c r="AV17" s="44">
        <v>3936</v>
      </c>
      <c r="AW17" s="44">
        <v>1630</v>
      </c>
      <c r="AX17" s="44">
        <v>1077</v>
      </c>
      <c r="AY17" s="40">
        <f>SUM(AR17:AX17)</f>
        <v>41568.485000000001</v>
      </c>
      <c r="BA17" s="44">
        <v>8242</v>
      </c>
      <c r="BB17" s="44">
        <v>9266</v>
      </c>
      <c r="BC17" s="44">
        <v>11055</v>
      </c>
      <c r="BD17" s="44">
        <v>10821</v>
      </c>
      <c r="BE17" s="44">
        <v>4280</v>
      </c>
      <c r="BF17" s="44">
        <v>1188</v>
      </c>
      <c r="BG17" s="44">
        <v>901</v>
      </c>
      <c r="BH17" s="20">
        <f>SUM(BA17:BG17)</f>
        <v>45753</v>
      </c>
      <c r="BJ17" s="44">
        <v>10053</v>
      </c>
      <c r="BK17" s="44">
        <v>9523</v>
      </c>
      <c r="BL17" s="44">
        <v>9580</v>
      </c>
      <c r="BM17" s="44">
        <v>9249</v>
      </c>
      <c r="BN17" s="44">
        <v>4823</v>
      </c>
      <c r="BO17" s="44">
        <v>2053</v>
      </c>
      <c r="BP17" s="44">
        <v>534</v>
      </c>
      <c r="BQ17" s="20">
        <f>SUM(BJ17:BP17)</f>
        <v>45815</v>
      </c>
      <c r="BS17" s="44">
        <f>'Base de Datos'!BM84</f>
        <v>8224</v>
      </c>
      <c r="BT17" s="44">
        <f>'Base de Datos'!BN84</f>
        <v>7159</v>
      </c>
      <c r="BU17" s="44">
        <f>'Base de Datos'!BO84</f>
        <v>12421</v>
      </c>
      <c r="BV17" s="44">
        <f>'Base de Datos'!BP84</f>
        <v>9668</v>
      </c>
      <c r="BW17" s="44">
        <f>'Base de Datos'!BQ84</f>
        <v>4262</v>
      </c>
      <c r="BX17" s="44">
        <f>'Base de Datos'!BR84</f>
        <v>2782.7</v>
      </c>
      <c r="BY17" s="44">
        <f>'Base de Datos'!BS84</f>
        <v>631.6</v>
      </c>
      <c r="BZ17" s="20">
        <f t="shared" ref="BZ17:BZ19" si="3">SUM(BS17:BY17)</f>
        <v>45148.299999999996</v>
      </c>
      <c r="CB17" s="44">
        <f>'Base de Datos'!BV84</f>
        <v>10828</v>
      </c>
      <c r="CC17" s="44">
        <f>'Base de Datos'!BW84</f>
        <v>8913</v>
      </c>
      <c r="CD17" s="44">
        <f>'Base de Datos'!BX84</f>
        <v>6338</v>
      </c>
      <c r="CE17" s="44">
        <f>'Base de Datos'!BY84</f>
        <v>8892</v>
      </c>
      <c r="CF17" s="44">
        <f>'Base de Datos'!BZ84</f>
        <v>4447</v>
      </c>
      <c r="CG17" s="44">
        <f>'Base de Datos'!CA84</f>
        <v>225</v>
      </c>
      <c r="CH17" s="44">
        <f>'Base de Datos'!CB84</f>
        <v>397</v>
      </c>
      <c r="CI17" s="20">
        <f t="shared" ref="CI17:CI19" si="4">SUM(CB17:CH17)</f>
        <v>40040</v>
      </c>
      <c r="CK17" s="44">
        <f>'Base de Datos'!CE84</f>
        <v>8864</v>
      </c>
      <c r="CL17" s="44">
        <f>'Base de Datos'!CF84</f>
        <v>6603</v>
      </c>
      <c r="CM17" s="44">
        <f>'Base de Datos'!CG84</f>
        <v>9849</v>
      </c>
      <c r="CN17" s="44">
        <f>'Base de Datos'!CH84</f>
        <v>6700</v>
      </c>
      <c r="CO17" s="44">
        <f>'Base de Datos'!CI84</f>
        <v>1043</v>
      </c>
      <c r="CP17" s="44">
        <f>'Base de Datos'!CJ84</f>
        <v>304</v>
      </c>
      <c r="CQ17" s="44">
        <f>'Base de Datos'!CK84</f>
        <v>0</v>
      </c>
      <c r="CR17" s="20">
        <f t="shared" ref="CR17:CR19" si="5">SUM(CK17:CQ17)</f>
        <v>33363</v>
      </c>
    </row>
    <row r="18" spans="1:96" s="31" customFormat="1" ht="15" hidden="1" customHeight="1" x14ac:dyDescent="0.25">
      <c r="B18" s="41" t="s">
        <v>29</v>
      </c>
      <c r="C18" s="903" t="s">
        <v>30</v>
      </c>
      <c r="D18" s="903"/>
      <c r="E18" s="903"/>
      <c r="F18" s="42"/>
      <c r="H18" s="37">
        <v>3</v>
      </c>
      <c r="I18" s="43">
        <v>0</v>
      </c>
      <c r="J18" s="43">
        <v>0</v>
      </c>
      <c r="K18" s="43">
        <v>159.75</v>
      </c>
      <c r="L18" s="43">
        <v>368.88</v>
      </c>
      <c r="M18" s="43">
        <v>177.56</v>
      </c>
      <c r="N18" s="43">
        <v>226.19</v>
      </c>
      <c r="O18" s="40">
        <f>SUM(H18:N18)</f>
        <v>935.38000000000011</v>
      </c>
      <c r="Q18" s="37">
        <v>391.63</v>
      </c>
      <c r="R18" s="37">
        <v>434.19</v>
      </c>
      <c r="S18" s="37">
        <v>389.81</v>
      </c>
      <c r="T18" s="37">
        <v>411.5</v>
      </c>
      <c r="U18" s="37">
        <v>307.75</v>
      </c>
      <c r="V18" s="37">
        <v>247.63</v>
      </c>
      <c r="W18" s="37">
        <v>140.31</v>
      </c>
      <c r="X18" s="20">
        <f>SUM(Q18:W18)</f>
        <v>2322.8199999999997</v>
      </c>
      <c r="Z18" s="37">
        <v>324.06</v>
      </c>
      <c r="AA18" s="37">
        <v>278.63</v>
      </c>
      <c r="AB18" s="37">
        <v>182.88</v>
      </c>
      <c r="AC18" s="37">
        <v>182.8798828125</v>
      </c>
      <c r="AD18" s="37">
        <v>182.8798828125</v>
      </c>
      <c r="AE18" s="37">
        <v>182.8798828125</v>
      </c>
      <c r="AF18" s="37">
        <v>182.8798828125</v>
      </c>
      <c r="AG18" s="20">
        <f>SUM(Z18:AF18)</f>
        <v>1517.0895312500002</v>
      </c>
      <c r="AI18" s="44">
        <v>182.8798828125</v>
      </c>
      <c r="AJ18" s="45">
        <v>182.8798828125</v>
      </c>
      <c r="AK18" s="45">
        <v>182.8798828125</v>
      </c>
      <c r="AL18" s="45">
        <v>182.8798828125</v>
      </c>
      <c r="AM18" s="45">
        <v>182.8798828125</v>
      </c>
      <c r="AN18" s="45">
        <v>182.8798828125</v>
      </c>
      <c r="AO18" s="45">
        <v>182.8798828125</v>
      </c>
      <c r="AP18" s="40">
        <f>SUM(AI18:AO18)</f>
        <v>1280.1591796875</v>
      </c>
      <c r="AR18" s="44">
        <v>182.8798828125</v>
      </c>
      <c r="AS18" s="44">
        <v>182.8798828125</v>
      </c>
      <c r="AT18" s="44">
        <v>182.8798828125</v>
      </c>
      <c r="AU18" s="44">
        <v>182.8798828125</v>
      </c>
      <c r="AV18" s="44">
        <v>182.8798828125</v>
      </c>
      <c r="AW18" s="44">
        <v>182.8798828125</v>
      </c>
      <c r="AX18" s="44">
        <v>182.8798828125</v>
      </c>
      <c r="AY18" s="40">
        <f>SUM(AR18:AX18)</f>
        <v>1280.1591796875</v>
      </c>
      <c r="BA18" s="44">
        <v>182.8798828125</v>
      </c>
      <c r="BB18" s="44">
        <v>182.8798828125</v>
      </c>
      <c r="BC18" s="44">
        <v>182.8798828125</v>
      </c>
      <c r="BD18" s="44">
        <v>182.8798828125</v>
      </c>
      <c r="BE18" s="44">
        <v>182.8798828125</v>
      </c>
      <c r="BF18" s="44">
        <v>182.8798828125</v>
      </c>
      <c r="BG18" s="44">
        <v>0</v>
      </c>
      <c r="BH18" s="20">
        <f>SUM(BA18:BG18)</f>
        <v>1097.279296875</v>
      </c>
      <c r="BJ18" s="44">
        <v>182.8798828125</v>
      </c>
      <c r="BK18" s="44">
        <v>182.8798828125</v>
      </c>
      <c r="BL18" s="44">
        <v>182.8798828125</v>
      </c>
      <c r="BM18" s="44">
        <v>182.8798828125</v>
      </c>
      <c r="BN18" s="44">
        <v>182.8798828125</v>
      </c>
      <c r="BO18" s="44">
        <v>0</v>
      </c>
      <c r="BP18" s="44">
        <v>182.8798828125</v>
      </c>
      <c r="BQ18" s="20">
        <f>SUM(BJ18:BP18)</f>
        <v>1097.279296875</v>
      </c>
      <c r="BS18" s="44"/>
      <c r="BT18" s="44"/>
      <c r="BU18" s="44"/>
      <c r="BV18" s="44"/>
      <c r="BW18" s="44"/>
      <c r="BX18" s="44"/>
      <c r="BY18" s="44"/>
      <c r="BZ18" s="20">
        <f t="shared" si="3"/>
        <v>0</v>
      </c>
      <c r="CB18" s="44"/>
      <c r="CC18" s="44"/>
      <c r="CD18" s="44"/>
      <c r="CE18" s="44"/>
      <c r="CF18" s="44"/>
      <c r="CG18" s="44"/>
      <c r="CH18" s="44"/>
      <c r="CI18" s="20">
        <f t="shared" si="4"/>
        <v>0</v>
      </c>
      <c r="CK18" s="44"/>
      <c r="CL18" s="44"/>
      <c r="CM18" s="44"/>
      <c r="CN18" s="44"/>
      <c r="CO18" s="44"/>
      <c r="CP18" s="44"/>
      <c r="CQ18" s="44"/>
      <c r="CR18" s="20">
        <f t="shared" si="5"/>
        <v>0</v>
      </c>
    </row>
    <row r="19" spans="1:96" ht="15" customHeight="1" x14ac:dyDescent="0.25">
      <c r="B19" s="41" t="s">
        <v>29</v>
      </c>
      <c r="C19" s="903" t="s">
        <v>30</v>
      </c>
      <c r="D19" s="903"/>
      <c r="E19" s="903"/>
      <c r="F19" s="46"/>
      <c r="H19" s="37">
        <v>710</v>
      </c>
      <c r="I19" s="43">
        <v>310</v>
      </c>
      <c r="J19" s="43">
        <v>320</v>
      </c>
      <c r="K19" s="43">
        <v>310</v>
      </c>
      <c r="L19" s="43">
        <v>250</v>
      </c>
      <c r="M19" s="43">
        <v>90</v>
      </c>
      <c r="N19" s="43">
        <v>70</v>
      </c>
      <c r="O19" s="40">
        <f>SUM(H19:N19)</f>
        <v>2060</v>
      </c>
      <c r="Q19" s="37">
        <v>290</v>
      </c>
      <c r="R19" s="37">
        <v>340</v>
      </c>
      <c r="S19" s="37">
        <v>360</v>
      </c>
      <c r="T19" s="37">
        <v>310</v>
      </c>
      <c r="U19" s="37">
        <v>260</v>
      </c>
      <c r="V19" s="37">
        <v>130</v>
      </c>
      <c r="W19" s="37">
        <v>90</v>
      </c>
      <c r="X19" s="20">
        <f>SUM(Q19:W19)</f>
        <v>1780</v>
      </c>
      <c r="Z19" s="37">
        <v>250</v>
      </c>
      <c r="AA19" s="37">
        <v>280</v>
      </c>
      <c r="AB19" s="37">
        <v>320</v>
      </c>
      <c r="AC19" s="37">
        <v>310</v>
      </c>
      <c r="AD19" s="37">
        <v>260</v>
      </c>
      <c r="AE19" s="37">
        <v>100</v>
      </c>
      <c r="AF19" s="37">
        <v>60</v>
      </c>
      <c r="AG19" s="20">
        <f>SUM(Z19:AF19)</f>
        <v>1580</v>
      </c>
      <c r="AI19" s="44">
        <v>360</v>
      </c>
      <c r="AJ19" s="45">
        <v>370</v>
      </c>
      <c r="AK19" s="45">
        <v>320</v>
      </c>
      <c r="AL19" s="45">
        <v>280</v>
      </c>
      <c r="AM19" s="45">
        <v>200</v>
      </c>
      <c r="AN19" s="45">
        <v>120</v>
      </c>
      <c r="AO19" s="45">
        <v>170</v>
      </c>
      <c r="AP19" s="40">
        <f>SUM(AI19:AO19)</f>
        <v>1820</v>
      </c>
      <c r="AR19" s="44">
        <v>30</v>
      </c>
      <c r="AS19" s="44">
        <v>30</v>
      </c>
      <c r="AT19" s="44">
        <v>330</v>
      </c>
      <c r="AU19" s="44">
        <v>360</v>
      </c>
      <c r="AV19" s="44">
        <v>250</v>
      </c>
      <c r="AW19" s="44">
        <v>110</v>
      </c>
      <c r="AX19" s="44">
        <v>30</v>
      </c>
      <c r="AY19" s="40">
        <f>SUM(AR19:AX19)</f>
        <v>1140</v>
      </c>
      <c r="BA19" s="44">
        <v>360</v>
      </c>
      <c r="BB19" s="44">
        <v>360</v>
      </c>
      <c r="BC19" s="44">
        <v>260</v>
      </c>
      <c r="BD19" s="44">
        <v>370</v>
      </c>
      <c r="BE19" s="44">
        <v>200</v>
      </c>
      <c r="BF19" s="44">
        <v>110</v>
      </c>
      <c r="BG19" s="44">
        <v>40</v>
      </c>
      <c r="BH19" s="20">
        <f>SUM(BA19:BG19)</f>
        <v>1700</v>
      </c>
      <c r="BJ19" s="44">
        <v>370</v>
      </c>
      <c r="BK19" s="44">
        <v>340</v>
      </c>
      <c r="BL19" s="44">
        <v>260</v>
      </c>
      <c r="BM19" s="44">
        <v>310</v>
      </c>
      <c r="BN19" s="44">
        <v>310</v>
      </c>
      <c r="BO19" s="44">
        <v>140</v>
      </c>
      <c r="BP19" s="44">
        <v>70</v>
      </c>
      <c r="BQ19" s="20">
        <f>SUM(BJ19:BP19)</f>
        <v>1800</v>
      </c>
      <c r="BS19" s="44">
        <f>'Base de Datos'!BM86</f>
        <v>340</v>
      </c>
      <c r="BT19" s="44">
        <f>'Base de Datos'!BN86</f>
        <v>330</v>
      </c>
      <c r="BU19" s="44">
        <f>'Base de Datos'!BO86</f>
        <v>320</v>
      </c>
      <c r="BV19" s="44">
        <f>'Base de Datos'!BP86</f>
        <v>330</v>
      </c>
      <c r="BW19" s="44">
        <f>'Base de Datos'!BQ86</f>
        <v>250</v>
      </c>
      <c r="BX19" s="44">
        <f>'Base de Datos'!BR86</f>
        <v>120</v>
      </c>
      <c r="BY19" s="44">
        <f>'Base de Datos'!BS86</f>
        <v>80</v>
      </c>
      <c r="BZ19" s="20">
        <f t="shared" si="3"/>
        <v>1770</v>
      </c>
      <c r="CB19" s="44">
        <f>'Base de Datos'!BV86</f>
        <v>380</v>
      </c>
      <c r="CC19" s="44">
        <f>'Base de Datos'!BW86</f>
        <v>320</v>
      </c>
      <c r="CD19" s="44">
        <f>'Base de Datos'!BX86</f>
        <v>320</v>
      </c>
      <c r="CE19" s="44">
        <f>'Base de Datos'!BY86</f>
        <v>320</v>
      </c>
      <c r="CF19" s="44">
        <f>'Base de Datos'!BZ86</f>
        <v>270</v>
      </c>
      <c r="CG19" s="44">
        <f>'Base de Datos'!CA86</f>
        <v>70</v>
      </c>
      <c r="CH19" s="44">
        <f>'Base de Datos'!CB86</f>
        <v>30</v>
      </c>
      <c r="CI19" s="20">
        <f t="shared" si="4"/>
        <v>1710</v>
      </c>
      <c r="CK19" s="44">
        <f>'Base de Datos'!CE86</f>
        <v>290</v>
      </c>
      <c r="CL19" s="44">
        <f>'Base de Datos'!CF86</f>
        <v>270</v>
      </c>
      <c r="CM19" s="44">
        <f>'Base de Datos'!CG86</f>
        <v>360</v>
      </c>
      <c r="CN19" s="44">
        <f>'Base de Datos'!CH86</f>
        <v>320</v>
      </c>
      <c r="CO19" s="44">
        <f>'Base de Datos'!CI86</f>
        <v>280</v>
      </c>
      <c r="CP19" s="44">
        <f>'Base de Datos'!CJ86</f>
        <v>190</v>
      </c>
      <c r="CQ19" s="44">
        <f>'Base de Datos'!CK86</f>
        <v>100</v>
      </c>
      <c r="CR19" s="20">
        <f t="shared" si="5"/>
        <v>1810</v>
      </c>
    </row>
    <row r="20" spans="1:96" ht="15" customHeight="1" thickBot="1" x14ac:dyDescent="0.3">
      <c r="B20" s="47" t="s">
        <v>31</v>
      </c>
      <c r="C20" s="916" t="s">
        <v>32</v>
      </c>
      <c r="D20" s="916"/>
      <c r="E20" s="916"/>
      <c r="F20" s="48"/>
      <c r="H20" s="49" t="e">
        <v>#REF!</v>
      </c>
      <c r="I20" s="49" t="e">
        <v>#REF!</v>
      </c>
      <c r="J20" s="49" t="e">
        <v>#REF!</v>
      </c>
      <c r="K20" s="49" t="e">
        <v>#REF!</v>
      </c>
      <c r="L20" s="49" t="e">
        <v>#REF!</v>
      </c>
      <c r="M20" s="49" t="e">
        <v>#REF!</v>
      </c>
      <c r="N20" s="49" t="e">
        <v>#REF!</v>
      </c>
      <c r="O20" s="50" t="e">
        <f>SUM(H20:N20)</f>
        <v>#REF!</v>
      </c>
      <c r="Q20" s="49" t="e">
        <v>#REF!</v>
      </c>
      <c r="R20" s="49" t="e">
        <v>#REF!</v>
      </c>
      <c r="S20" s="49" t="e">
        <v>#REF!</v>
      </c>
      <c r="T20" s="49" t="e">
        <v>#REF!</v>
      </c>
      <c r="U20" s="49" t="e">
        <v>#REF!</v>
      </c>
      <c r="V20" s="49" t="e">
        <v>#REF!</v>
      </c>
      <c r="W20" s="49" t="e">
        <v>#REF!</v>
      </c>
      <c r="X20" s="25" t="e">
        <f>SUM(Q20:W20)</f>
        <v>#REF!</v>
      </c>
      <c r="Z20" s="49" t="e">
        <v>#REF!</v>
      </c>
      <c r="AA20" s="49" t="e">
        <v>#REF!</v>
      </c>
      <c r="AB20" s="49" t="e">
        <v>#REF!</v>
      </c>
      <c r="AC20" s="49" t="e">
        <v>#REF!</v>
      </c>
      <c r="AD20" s="49" t="e">
        <v>#REF!</v>
      </c>
      <c r="AE20" s="49" t="e">
        <v>#REF!</v>
      </c>
      <c r="AF20" s="49" t="e">
        <v>#REF!</v>
      </c>
      <c r="AG20" s="25" t="e">
        <f>SUM(Z20:AF20)</f>
        <v>#REF!</v>
      </c>
      <c r="AI20" s="51" t="e">
        <v>#REF!</v>
      </c>
      <c r="AJ20" s="52" t="e">
        <v>#REF!</v>
      </c>
      <c r="AK20" s="52" t="e">
        <v>#REF!</v>
      </c>
      <c r="AL20" s="52" t="e">
        <v>#REF!</v>
      </c>
      <c r="AM20" s="52" t="e">
        <v>#REF!</v>
      </c>
      <c r="AN20" s="52" t="e">
        <v>#REF!</v>
      </c>
      <c r="AO20" s="52" t="e">
        <v>#REF!</v>
      </c>
      <c r="AP20" s="50" t="e">
        <f>SUM(AI20:AO20)</f>
        <v>#REF!</v>
      </c>
      <c r="AR20" s="51" t="e">
        <v>#REF!</v>
      </c>
      <c r="AS20" s="51" t="e">
        <v>#REF!</v>
      </c>
      <c r="AT20" s="51" t="e">
        <v>#REF!</v>
      </c>
      <c r="AU20" s="51" t="e">
        <v>#REF!</v>
      </c>
      <c r="AV20" s="51" t="e">
        <v>#REF!</v>
      </c>
      <c r="AW20" s="51" t="e">
        <v>#REF!</v>
      </c>
      <c r="AX20" s="51" t="e">
        <v>#REF!</v>
      </c>
      <c r="AY20" s="50" t="e">
        <f>SUM(AR20:AX20)</f>
        <v>#REF!</v>
      </c>
      <c r="BA20" s="51" t="e">
        <v>#REF!</v>
      </c>
      <c r="BB20" s="51" t="e">
        <v>#REF!</v>
      </c>
      <c r="BC20" s="51" t="e">
        <v>#REF!</v>
      </c>
      <c r="BD20" s="51" t="e">
        <v>#REF!</v>
      </c>
      <c r="BE20" s="51" t="e">
        <v>#REF!</v>
      </c>
      <c r="BF20" s="51" t="e">
        <v>#REF!</v>
      </c>
      <c r="BG20" s="51" t="e">
        <v>#REF!</v>
      </c>
      <c r="BH20" s="25" t="e">
        <f>SUM(BA20:BG20)</f>
        <v>#REF!</v>
      </c>
      <c r="BJ20" s="51" t="e">
        <v>#REF!</v>
      </c>
      <c r="BK20" s="51" t="e">
        <v>#REF!</v>
      </c>
      <c r="BL20" s="51" t="e">
        <v>#REF!</v>
      </c>
      <c r="BM20" s="51" t="e">
        <v>#REF!</v>
      </c>
      <c r="BN20" s="51" t="e">
        <v>#REF!</v>
      </c>
      <c r="BO20" s="51" t="e">
        <v>#REF!</v>
      </c>
      <c r="BP20" s="51" t="e">
        <v>#REF!</v>
      </c>
      <c r="BQ20" s="25" t="e">
        <f>SUM(BJ20:BP20)</f>
        <v>#REF!</v>
      </c>
      <c r="BS20" s="51">
        <f t="shared" ref="BS20:BY20" si="6">BS59+BS87</f>
        <v>98.210000000000008</v>
      </c>
      <c r="BT20" s="51">
        <f t="shared" si="6"/>
        <v>80.45</v>
      </c>
      <c r="BU20" s="51">
        <f t="shared" si="6"/>
        <v>137.84</v>
      </c>
      <c r="BV20" s="51">
        <f t="shared" si="6"/>
        <v>108.58</v>
      </c>
      <c r="BW20" s="51">
        <f t="shared" si="6"/>
        <v>52.97</v>
      </c>
      <c r="BX20" s="51">
        <f t="shared" si="6"/>
        <v>27.58</v>
      </c>
      <c r="BY20" s="51">
        <f t="shared" si="6"/>
        <v>5.55</v>
      </c>
      <c r="BZ20" s="25">
        <f>SUM(BS20:BY20)</f>
        <v>511.17999999999995</v>
      </c>
      <c r="CB20" s="51">
        <f t="shared" ref="CB20:CH20" si="7">CB59+CB87</f>
        <v>68</v>
      </c>
      <c r="CC20" s="51">
        <f t="shared" si="7"/>
        <v>86.78</v>
      </c>
      <c r="CD20" s="51">
        <f t="shared" si="7"/>
        <v>69.92</v>
      </c>
      <c r="CE20" s="51">
        <f t="shared" si="7"/>
        <v>101.24</v>
      </c>
      <c r="CF20" s="51">
        <f t="shared" si="7"/>
        <v>45.11</v>
      </c>
      <c r="CG20" s="51">
        <f t="shared" si="7"/>
        <v>1.1200000000000001</v>
      </c>
      <c r="CH20" s="51">
        <f t="shared" si="7"/>
        <v>3.89</v>
      </c>
      <c r="CI20" s="25">
        <f>SUM(CB20:CH20)</f>
        <v>376.06</v>
      </c>
      <c r="CK20" s="51">
        <f t="shared" ref="CK20:CQ20" si="8">CK59+CK87</f>
        <v>84</v>
      </c>
      <c r="CL20" s="51">
        <f t="shared" si="8"/>
        <v>61.54</v>
      </c>
      <c r="CM20" s="51">
        <f t="shared" si="8"/>
        <v>95.7</v>
      </c>
      <c r="CN20" s="51">
        <f t="shared" si="8"/>
        <v>0</v>
      </c>
      <c r="CO20" s="51">
        <f t="shared" si="8"/>
        <v>0</v>
      </c>
      <c r="CP20" s="51">
        <f t="shared" si="8"/>
        <v>0</v>
      </c>
      <c r="CQ20" s="51">
        <f t="shared" si="8"/>
        <v>0</v>
      </c>
      <c r="CR20" s="25">
        <f>SUM(CK20:CQ20)</f>
        <v>241.24</v>
      </c>
    </row>
    <row r="21" spans="1:96" ht="15" customHeight="1" thickBot="1" x14ac:dyDescent="0.3">
      <c r="C21" s="1"/>
      <c r="D21" s="1"/>
      <c r="E21" s="1"/>
      <c r="F21" s="1"/>
    </row>
    <row r="22" spans="1:96" ht="15" customHeight="1" thickBot="1" x14ac:dyDescent="0.3">
      <c r="A22" s="53"/>
      <c r="B22" s="917" t="s">
        <v>33</v>
      </c>
      <c r="C22" s="918"/>
      <c r="D22" s="918"/>
      <c r="E22" s="919"/>
      <c r="F22" s="920"/>
      <c r="H22" s="899"/>
      <c r="I22" s="900"/>
      <c r="J22" s="900"/>
      <c r="K22" s="900"/>
      <c r="L22" s="900"/>
      <c r="M22" s="900"/>
      <c r="N22" s="900"/>
      <c r="O22" s="901"/>
      <c r="Q22" s="899"/>
      <c r="R22" s="900"/>
      <c r="S22" s="900"/>
      <c r="T22" s="900"/>
      <c r="U22" s="900"/>
      <c r="V22" s="900"/>
      <c r="W22" s="900"/>
      <c r="X22" s="901"/>
      <c r="Z22" s="899"/>
      <c r="AA22" s="900"/>
      <c r="AB22" s="900"/>
      <c r="AC22" s="900"/>
      <c r="AD22" s="900"/>
      <c r="AE22" s="900"/>
      <c r="AF22" s="900"/>
      <c r="AG22" s="901"/>
      <c r="AI22" s="899"/>
      <c r="AJ22" s="900"/>
      <c r="AK22" s="900"/>
      <c r="AL22" s="900"/>
      <c r="AM22" s="900"/>
      <c r="AN22" s="900"/>
      <c r="AO22" s="900"/>
      <c r="AP22" s="901"/>
      <c r="AR22" s="899"/>
      <c r="AS22" s="900"/>
      <c r="AT22" s="900"/>
      <c r="AU22" s="900"/>
      <c r="AV22" s="900"/>
      <c r="AW22" s="900"/>
      <c r="AX22" s="900"/>
      <c r="AY22" s="901"/>
      <c r="BA22" s="898"/>
      <c r="BB22" s="898"/>
      <c r="BC22" s="898"/>
      <c r="BD22" s="898"/>
      <c r="BE22" s="898"/>
      <c r="BF22" s="898"/>
      <c r="BG22" s="898"/>
      <c r="BH22" s="898"/>
      <c r="BJ22" s="899"/>
      <c r="BK22" s="900"/>
      <c r="BL22" s="900"/>
      <c r="BM22" s="900"/>
      <c r="BN22" s="900"/>
      <c r="BO22" s="900"/>
      <c r="BP22" s="900"/>
      <c r="BQ22" s="901"/>
      <c r="BS22" s="884"/>
      <c r="BT22" s="885"/>
      <c r="BU22" s="885"/>
      <c r="BV22" s="885"/>
      <c r="BW22" s="885"/>
      <c r="BX22" s="885"/>
      <c r="BY22" s="885"/>
      <c r="BZ22" s="886"/>
      <c r="CB22" s="884"/>
      <c r="CC22" s="885"/>
      <c r="CD22" s="885"/>
      <c r="CE22" s="885"/>
      <c r="CF22" s="885"/>
      <c r="CG22" s="885"/>
      <c r="CH22" s="885"/>
      <c r="CI22" s="886"/>
      <c r="CK22" s="884"/>
      <c r="CL22" s="885"/>
      <c r="CM22" s="885"/>
      <c r="CN22" s="885"/>
      <c r="CO22" s="885"/>
      <c r="CP22" s="885"/>
      <c r="CQ22" s="885"/>
      <c r="CR22" s="886"/>
    </row>
    <row r="23" spans="1:96" ht="15" customHeight="1" x14ac:dyDescent="0.3">
      <c r="A23" s="921" t="s">
        <v>34</v>
      </c>
      <c r="B23" s="924" t="s">
        <v>35</v>
      </c>
      <c r="C23" s="54" t="s">
        <v>36</v>
      </c>
      <c r="E23" s="55">
        <v>342</v>
      </c>
      <c r="F23" s="56" t="s">
        <v>37</v>
      </c>
      <c r="H23" s="18"/>
      <c r="I23" s="18"/>
      <c r="J23" s="18"/>
      <c r="K23" s="18"/>
      <c r="L23" s="18"/>
      <c r="M23" s="18"/>
      <c r="N23" s="18"/>
      <c r="O23" s="57"/>
      <c r="Q23" s="18"/>
      <c r="R23" s="18"/>
      <c r="S23" s="18"/>
      <c r="T23" s="18"/>
      <c r="U23" s="18"/>
      <c r="V23" s="18"/>
      <c r="W23" s="18"/>
      <c r="X23" s="57"/>
      <c r="Z23" s="18"/>
      <c r="AA23" s="18"/>
      <c r="AB23" s="18"/>
      <c r="AC23" s="18"/>
      <c r="AD23" s="18"/>
      <c r="AE23" s="18"/>
      <c r="AF23" s="18"/>
      <c r="AG23" s="57"/>
      <c r="AI23" s="18"/>
      <c r="AJ23" s="18"/>
      <c r="AK23" s="18"/>
      <c r="AL23" s="18"/>
      <c r="AM23" s="18"/>
      <c r="AN23" s="18"/>
      <c r="AO23" s="18"/>
      <c r="AP23" s="57"/>
      <c r="AR23" s="18"/>
      <c r="AS23" s="18"/>
      <c r="AT23" s="18"/>
      <c r="AU23" s="18"/>
      <c r="AV23" s="18"/>
      <c r="AW23" s="18"/>
      <c r="AX23" s="18"/>
      <c r="AY23" s="57"/>
      <c r="BA23" s="19"/>
      <c r="BB23" s="19"/>
      <c r="BC23" s="19"/>
      <c r="BD23" s="19"/>
      <c r="BE23" s="19"/>
      <c r="BF23" s="19"/>
      <c r="BG23" s="19"/>
      <c r="BH23" s="58"/>
      <c r="BJ23" s="18"/>
      <c r="BK23" s="18"/>
      <c r="BL23" s="18"/>
      <c r="BM23" s="18"/>
      <c r="BN23" s="18"/>
      <c r="BO23" s="18"/>
      <c r="BP23" s="18"/>
      <c r="BQ23" s="57">
        <f t="shared" ref="BQ23:BQ35" si="9">SUM(BJ23:BP23)</f>
        <v>0</v>
      </c>
      <c r="BS23" s="247">
        <f>'Base de Datos'!BM104/('Base de Datos'!BM3+'Base de Datos'!BM21)</f>
        <v>712.80659340659349</v>
      </c>
      <c r="BT23" s="247">
        <f>'Base de Datos'!BN104/('Base de Datos'!BN3+'Base de Datos'!BN21)</f>
        <v>311.90792682926832</v>
      </c>
      <c r="BU23" s="247">
        <f>'Base de Datos'!BO104/('Base de Datos'!BO3+'Base de Datos'!BO21)</f>
        <v>342.46501457725947</v>
      </c>
      <c r="BV23" s="247">
        <f>'Base de Datos'!BP104/('Base de Datos'!BP3+'Base de Datos'!BP21)</f>
        <v>365.12346760070051</v>
      </c>
      <c r="BW23" s="247">
        <f>'Base de Datos'!BQ104/('Base de Datos'!BQ3+'Base de Datos'!BQ21)</f>
        <v>488.94153005464483</v>
      </c>
      <c r="BX23" s="247">
        <f>'Base de Datos'!BR104/('Base de Datos'!BR3+'Base de Datos'!BR21)</f>
        <v>804.48582089552247</v>
      </c>
      <c r="BY23" s="247" t="e">
        <f>'Base de Datos'!BS104/('Base de Datos'!BS3+'Base de Datos'!BS21)</f>
        <v>#DIV/0!</v>
      </c>
      <c r="BZ23" s="57" t="e">
        <f t="shared" ref="BZ23:BZ35" si="10">SUM(BS23:BY23)</f>
        <v>#DIV/0!</v>
      </c>
      <c r="CB23" s="247">
        <f>'Base de Datos'!BV104/('Base de Datos'!BV3+'Base de Datos'!BV21)</f>
        <v>393.52486187845312</v>
      </c>
      <c r="CC23" s="247">
        <f>'Base de Datos'!BW104/('Base de Datos'!BW3+'Base de Datos'!BW21)</f>
        <v>149.47729357798167</v>
      </c>
      <c r="CD23" s="247">
        <f>'Base de Datos'!BX104/('Base de Datos'!BX3+'Base de Datos'!BX21)</f>
        <v>329.90448318804488</v>
      </c>
      <c r="CE23" s="247">
        <f>'Base de Datos'!BY104/('Base de Datos'!BY3+'Base de Datos'!BY21)</f>
        <v>336.82325976230902</v>
      </c>
      <c r="CF23" s="247">
        <f>'Base de Datos'!BZ104/('Base de Datos'!BZ3+'Base de Datos'!BZ21)</f>
        <v>600.37992424242418</v>
      </c>
      <c r="CG23" s="247">
        <f>'Base de Datos'!CA104/('Base de Datos'!CA3+'Base de Datos'!CA21)</f>
        <v>1136.8734177215188</v>
      </c>
      <c r="CH23" s="247">
        <f>'Base de Datos'!CB104/('Base de Datos'!CB3+'Base de Datos'!CB21)</f>
        <v>757.55714285714294</v>
      </c>
      <c r="CI23" s="57">
        <f t="shared" ref="CI23:CI35" si="11">SUM(CB23:CH23)</f>
        <v>3704.5403832278748</v>
      </c>
      <c r="CK23" s="247">
        <f>'Base de Datos'!CE104/('Base de Datos'!CE3+'Base de Datos'!CE21)</f>
        <v>197.82930327868854</v>
      </c>
      <c r="CL23" s="247">
        <f>'Base de Datos'!CF104/('Base de Datos'!CF3+'Base de Datos'!CF21)</f>
        <v>304.6961267605634</v>
      </c>
      <c r="CM23" s="247">
        <f>'Base de Datos'!CG104/('Base de Datos'!CG3+'Base de Datos'!CG21)</f>
        <v>302.31897435897434</v>
      </c>
      <c r="CN23" s="247">
        <f>'Base de Datos'!CH104/('Base de Datos'!CH3+'Base de Datos'!CH21)</f>
        <v>350.5013651877133</v>
      </c>
      <c r="CO23" s="247">
        <f>'Base de Datos'!CI104/('Base de Datos'!CI3+'Base de Datos'!CI21)</f>
        <v>609.67391304347825</v>
      </c>
      <c r="CP23" s="247">
        <f>'Base de Datos'!CJ104/('Base de Datos'!CJ3+'Base de Datos'!CJ21)</f>
        <v>592.41935483870964</v>
      </c>
      <c r="CQ23" s="247">
        <f>'Base de Datos'!CK104/('Base de Datos'!CK3+'Base de Datos'!CK21)</f>
        <v>545.62913907284769</v>
      </c>
      <c r="CR23" s="57">
        <f t="shared" ref="CR23:CR35" si="12">SUM(CK23:CQ23)</f>
        <v>2903.0681765409754</v>
      </c>
    </row>
    <row r="24" spans="1:96" ht="15" customHeight="1" x14ac:dyDescent="0.3">
      <c r="A24" s="922"/>
      <c r="B24" s="925"/>
      <c r="C24" s="60" t="s">
        <v>38</v>
      </c>
      <c r="E24" s="61">
        <v>268</v>
      </c>
      <c r="F24" s="62" t="s">
        <v>37</v>
      </c>
      <c r="H24" s="18"/>
      <c r="I24" s="18"/>
      <c r="J24" s="18"/>
      <c r="K24" s="18"/>
      <c r="L24" s="18"/>
      <c r="M24" s="18"/>
      <c r="N24" s="18"/>
      <c r="O24" s="57"/>
      <c r="Q24" s="18"/>
      <c r="R24" s="18"/>
      <c r="S24" s="18"/>
      <c r="T24" s="18"/>
      <c r="U24" s="18"/>
      <c r="V24" s="18"/>
      <c r="W24" s="18"/>
      <c r="X24" s="57"/>
      <c r="Z24" s="18"/>
      <c r="AA24" s="18"/>
      <c r="AB24" s="18"/>
      <c r="AC24" s="18"/>
      <c r="AD24" s="18"/>
      <c r="AE24" s="18"/>
      <c r="AF24" s="18"/>
      <c r="AG24" s="57"/>
      <c r="AI24" s="18"/>
      <c r="AJ24" s="18"/>
      <c r="AK24" s="18"/>
      <c r="AL24" s="18"/>
      <c r="AM24" s="18"/>
      <c r="AN24" s="18"/>
      <c r="AO24" s="18"/>
      <c r="AP24" s="57"/>
      <c r="AR24" s="18"/>
      <c r="AS24" s="18"/>
      <c r="AT24" s="18"/>
      <c r="AU24" s="18"/>
      <c r="AV24" s="18"/>
      <c r="AW24" s="18"/>
      <c r="AX24" s="18"/>
      <c r="AY24" s="57"/>
      <c r="BA24" s="19"/>
      <c r="BB24" s="19"/>
      <c r="BC24" s="19"/>
      <c r="BD24" s="19"/>
      <c r="BE24" s="19"/>
      <c r="BF24" s="19"/>
      <c r="BG24" s="19"/>
      <c r="BH24" s="58"/>
      <c r="BJ24" s="18"/>
      <c r="BK24" s="18"/>
      <c r="BL24" s="18"/>
      <c r="BM24" s="18"/>
      <c r="BN24" s="18"/>
      <c r="BO24" s="18"/>
      <c r="BP24" s="18"/>
      <c r="BQ24" s="57">
        <f t="shared" si="9"/>
        <v>0</v>
      </c>
      <c r="BS24" s="247">
        <f>'Base de Datos'!BM105/('Base de Datos'!BM3+'Base de Datos'!BM21)</f>
        <v>743.07692307692309</v>
      </c>
      <c r="BT24" s="247">
        <f>'Base de Datos'!BN105/('Base de Datos'!BN3+'Base de Datos'!BN21)</f>
        <v>266.6829268292683</v>
      </c>
      <c r="BU24" s="247">
        <f>'Base de Datos'!BO105/('Base de Datos'!BO3+'Base de Datos'!BO21)</f>
        <v>229.92711370262393</v>
      </c>
      <c r="BV24" s="247">
        <f>'Base de Datos'!BP105/('Base de Datos'!BP3+'Base de Datos'!BP21)</f>
        <v>270.0875656742557</v>
      </c>
      <c r="BW24" s="247">
        <f>'Base de Datos'!BQ105/('Base de Datos'!BQ3+'Base de Datos'!BQ21)</f>
        <v>375.24590163934425</v>
      </c>
      <c r="BX24" s="247">
        <f>'Base de Datos'!BR105/('Base de Datos'!BR3+'Base de Datos'!BR21)</f>
        <v>564.77611940298505</v>
      </c>
      <c r="BY24" s="247" t="e">
        <f>'Base de Datos'!BS105/('Base de Datos'!BS3+'Base de Datos'!BS21)</f>
        <v>#DIV/0!</v>
      </c>
      <c r="BZ24" s="57" t="e">
        <f t="shared" si="10"/>
        <v>#DIV/0!</v>
      </c>
      <c r="CB24" s="247">
        <f>'Base de Datos'!BV105/('Base de Datos'!BV3+'Base de Datos'!BV21)</f>
        <v>214.53038674033152</v>
      </c>
      <c r="CC24" s="247">
        <f>'Base de Datos'!BW105/('Base de Datos'!BW3+'Base de Datos'!BW21)</f>
        <v>250.77981651376149</v>
      </c>
      <c r="CD24" s="247">
        <f>'Base de Datos'!BX105/('Base de Datos'!BX3+'Base de Datos'!BX21)</f>
        <v>277.40971357409717</v>
      </c>
      <c r="CE24" s="247">
        <f>'Base de Datos'!BY105/('Base de Datos'!BY3+'Base de Datos'!BY21)</f>
        <v>306.21392190152801</v>
      </c>
      <c r="CF24" s="247">
        <f>'Base de Datos'!BZ105/('Base de Datos'!BZ3+'Base de Datos'!BZ21)</f>
        <v>475.79545454545456</v>
      </c>
      <c r="CG24" s="247">
        <f>'Base de Datos'!CA105/('Base de Datos'!CA3+'Base de Datos'!CA21)</f>
        <v>602.91139240506322</v>
      </c>
      <c r="CH24" s="247">
        <f>'Base de Datos'!CB105/('Base de Datos'!CB3+'Base de Datos'!CB21)</f>
        <v>114.28571428571428</v>
      </c>
      <c r="CI24" s="57">
        <f t="shared" si="11"/>
        <v>2241.9263999659502</v>
      </c>
      <c r="CK24" s="247">
        <f>'Base de Datos'!CE105/('Base de Datos'!CE3+'Base de Datos'!CE21)</f>
        <v>0</v>
      </c>
      <c r="CL24" s="247">
        <f>'Base de Datos'!CF105/('Base de Datos'!CF3+'Base de Datos'!CF21)</f>
        <v>261.38497652582163</v>
      </c>
      <c r="CM24" s="247">
        <f>'Base de Datos'!CG105/('Base de Datos'!CG3+'Base de Datos'!CG21)</f>
        <v>281.12820512820514</v>
      </c>
      <c r="CN24" s="247">
        <f>'Base de Datos'!CH105/('Base de Datos'!CH3+'Base de Datos'!CH21)</f>
        <v>284.3515358361775</v>
      </c>
      <c r="CO24" s="247">
        <f>'Base de Datos'!CI105/('Base de Datos'!CI3+'Base de Datos'!CI21)</f>
        <v>437.24637681159419</v>
      </c>
      <c r="CP24" s="247">
        <f>'Base de Datos'!CJ105/('Base de Datos'!CJ3+'Base de Datos'!CJ21)</f>
        <v>264.56989247311827</v>
      </c>
      <c r="CQ24" s="247">
        <f>'Base de Datos'!CK105/('Base de Datos'!CK3+'Base de Datos'!CK21)</f>
        <v>164.3046357615894</v>
      </c>
      <c r="CR24" s="57">
        <f t="shared" si="12"/>
        <v>1692.9856225365061</v>
      </c>
    </row>
    <row r="25" spans="1:96" ht="15" customHeight="1" thickBot="1" x14ac:dyDescent="0.35">
      <c r="A25" s="922"/>
      <c r="B25" s="926"/>
      <c r="C25" s="63" t="s">
        <v>39</v>
      </c>
      <c r="E25" s="61">
        <v>960</v>
      </c>
      <c r="F25" s="64" t="s">
        <v>37</v>
      </c>
      <c r="H25" s="18"/>
      <c r="I25" s="18"/>
      <c r="J25" s="18"/>
      <c r="K25" s="18"/>
      <c r="L25" s="18"/>
      <c r="M25" s="18"/>
      <c r="N25" s="18"/>
      <c r="O25" s="57"/>
      <c r="Q25" s="18"/>
      <c r="R25" s="18"/>
      <c r="S25" s="18"/>
      <c r="T25" s="18"/>
      <c r="U25" s="18"/>
      <c r="V25" s="18"/>
      <c r="W25" s="18"/>
      <c r="X25" s="57"/>
      <c r="Z25" s="18"/>
      <c r="AA25" s="18"/>
      <c r="AB25" s="18"/>
      <c r="AC25" s="18"/>
      <c r="AD25" s="18"/>
      <c r="AE25" s="18"/>
      <c r="AF25" s="18"/>
      <c r="AG25" s="57"/>
      <c r="AI25" s="18"/>
      <c r="AJ25" s="18"/>
      <c r="AK25" s="18"/>
      <c r="AL25" s="18"/>
      <c r="AM25" s="18"/>
      <c r="AN25" s="18"/>
      <c r="AO25" s="18"/>
      <c r="AP25" s="57"/>
      <c r="AR25" s="18"/>
      <c r="AS25" s="18"/>
      <c r="AT25" s="18"/>
      <c r="AU25" s="18"/>
      <c r="AV25" s="18"/>
      <c r="AW25" s="18"/>
      <c r="AX25" s="18"/>
      <c r="AY25" s="57"/>
      <c r="BA25" s="19"/>
      <c r="BB25" s="19"/>
      <c r="BC25" s="19"/>
      <c r="BD25" s="19"/>
      <c r="BE25" s="19"/>
      <c r="BF25" s="19"/>
      <c r="BG25" s="19"/>
      <c r="BH25" s="58"/>
      <c r="BJ25" s="18"/>
      <c r="BK25" s="18"/>
      <c r="BL25" s="18"/>
      <c r="BM25" s="18"/>
      <c r="BN25" s="18"/>
      <c r="BO25" s="18"/>
      <c r="BP25" s="18"/>
      <c r="BQ25" s="57">
        <f t="shared" si="9"/>
        <v>0</v>
      </c>
      <c r="BS25" s="247">
        <f>'Base de Datos'!BM106/('Base de Datos'!BM3+'Base de Datos'!BM21)</f>
        <v>2338.6948717948717</v>
      </c>
      <c r="BT25" s="247">
        <f>'Base de Datos'!BN106/('Base de Datos'!BN3+'Base de Datos'!BN21)</f>
        <v>914.88158536585377</v>
      </c>
      <c r="BU25" s="247">
        <f>'Base de Datos'!BO106/('Base de Datos'!BO3+'Base de Datos'!BO21)</f>
        <v>941.17959183673474</v>
      </c>
      <c r="BV25" s="247">
        <f>'Base de Datos'!BP106/('Base de Datos'!BP3+'Base de Datos'!BP21)</f>
        <v>1127.8281961471105</v>
      </c>
      <c r="BW25" s="247">
        <f>'Base de Datos'!BQ106/('Base de Datos'!BQ3+'Base de Datos'!BQ21)</f>
        <v>1556.8409836065575</v>
      </c>
      <c r="BX25" s="247">
        <f>'Base de Datos'!BR106/('Base de Datos'!BR3+'Base de Datos'!BR21)</f>
        <v>2262.3246268656717</v>
      </c>
      <c r="BY25" s="247" t="e">
        <f>'Base de Datos'!BS106/('Base de Datos'!BS3+'Base de Datos'!BS21)</f>
        <v>#DIV/0!</v>
      </c>
      <c r="BZ25" s="57" t="e">
        <f t="shared" si="10"/>
        <v>#DIV/0!</v>
      </c>
      <c r="CB25" s="247">
        <f>'Base de Datos'!BV106/('Base de Datos'!BV3+'Base de Datos'!BV21)</f>
        <v>1121.6613259668509</v>
      </c>
      <c r="CC25" s="247">
        <f>'Base de Datos'!BW106/('Base de Datos'!BW3+'Base de Datos'!BW21)</f>
        <v>229.2391055045872</v>
      </c>
      <c r="CD25" s="247">
        <f>'Base de Datos'!BX106/('Base de Datos'!BX3+'Base de Datos'!BX21)</f>
        <v>530.91245330012464</v>
      </c>
      <c r="CE25" s="247">
        <f>'Base de Datos'!BY106/('Base de Datos'!BY3+'Base de Datos'!BY21)</f>
        <v>1272.7492359932087</v>
      </c>
      <c r="CF25" s="247">
        <f>'Base de Datos'!BZ106/('Base de Datos'!BZ3+'Base de Datos'!BZ21)</f>
        <v>1813.4363636363637</v>
      </c>
      <c r="CG25" s="247">
        <f>'Base de Datos'!CA106/('Base de Datos'!CA3+'Base de Datos'!CA21)</f>
        <v>2770.3341772151898</v>
      </c>
      <c r="CH25" s="247">
        <f>'Base de Datos'!CB106/('Base de Datos'!CB3+'Base de Datos'!CB21)</f>
        <v>1103.9272727272726</v>
      </c>
      <c r="CI25" s="57">
        <f t="shared" si="11"/>
        <v>8842.2599343435959</v>
      </c>
      <c r="CK25" s="247">
        <f>'Base de Datos'!CE106/('Base de Datos'!CE3+'Base de Datos'!CE21)</f>
        <v>285.23606557377053</v>
      </c>
      <c r="CL25" s="247">
        <f>'Base de Datos'!CF106/('Base de Datos'!CF3+'Base de Datos'!CF21)</f>
        <v>880.51983568075138</v>
      </c>
      <c r="CM25" s="247">
        <f>'Base de Datos'!CG106/('Base de Datos'!CG3+'Base de Datos'!CG21)</f>
        <v>1158.3211538461539</v>
      </c>
      <c r="CN25" s="247">
        <f>'Base de Datos'!CH106/('Base de Datos'!CH3+'Base de Datos'!CH21)</f>
        <v>1287.4636518771331</v>
      </c>
      <c r="CO25" s="247">
        <f>'Base de Datos'!CI106/('Base de Datos'!CI3+'Base de Datos'!CI21)</f>
        <v>2108.369565217391</v>
      </c>
      <c r="CP25" s="247">
        <f>'Base de Datos'!CJ106/('Base de Datos'!CJ3+'Base de Datos'!CJ21)</f>
        <v>1906.4516129032256</v>
      </c>
      <c r="CQ25" s="247">
        <f>'Base de Datos'!CK106/('Base de Datos'!CK3+'Base de Datos'!CK21)</f>
        <v>1628.9403973509934</v>
      </c>
      <c r="CR25" s="57">
        <f t="shared" si="12"/>
        <v>9255.3022824494183</v>
      </c>
    </row>
    <row r="26" spans="1:96" ht="15" customHeight="1" x14ac:dyDescent="0.3">
      <c r="A26" s="922"/>
      <c r="B26" s="927" t="s">
        <v>40</v>
      </c>
      <c r="C26" s="65" t="s">
        <v>41</v>
      </c>
      <c r="E26" s="61">
        <v>40</v>
      </c>
      <c r="F26" s="62" t="s">
        <v>37</v>
      </c>
      <c r="H26" s="18"/>
      <c r="I26" s="18"/>
      <c r="J26" s="18"/>
      <c r="K26" s="18"/>
      <c r="L26" s="18"/>
      <c r="M26" s="18"/>
      <c r="N26" s="18"/>
      <c r="O26" s="57"/>
      <c r="Q26" s="18"/>
      <c r="R26" s="18"/>
      <c r="S26" s="18"/>
      <c r="T26" s="18"/>
      <c r="U26" s="18"/>
      <c r="V26" s="18"/>
      <c r="W26" s="18"/>
      <c r="X26" s="57"/>
      <c r="Z26" s="18"/>
      <c r="AA26" s="18"/>
      <c r="AB26" s="18"/>
      <c r="AC26" s="18"/>
      <c r="AD26" s="18"/>
      <c r="AE26" s="18"/>
      <c r="AF26" s="18"/>
      <c r="AG26" s="57"/>
      <c r="AI26" s="18"/>
      <c r="AJ26" s="18"/>
      <c r="AK26" s="18"/>
      <c r="AL26" s="18"/>
      <c r="AM26" s="18"/>
      <c r="AN26" s="18"/>
      <c r="AO26" s="18"/>
      <c r="AP26" s="57"/>
      <c r="AR26" s="18"/>
      <c r="AS26" s="18"/>
      <c r="AT26" s="18"/>
      <c r="AU26" s="18"/>
      <c r="AV26" s="18"/>
      <c r="AW26" s="18"/>
      <c r="AX26" s="18"/>
      <c r="AY26" s="57"/>
      <c r="BA26" s="19"/>
      <c r="BB26" s="19"/>
      <c r="BC26" s="19"/>
      <c r="BD26" s="19"/>
      <c r="BE26" s="19"/>
      <c r="BF26" s="19"/>
      <c r="BG26" s="19"/>
      <c r="BH26" s="58"/>
      <c r="BJ26" s="18"/>
      <c r="BK26" s="18"/>
      <c r="BL26" s="18"/>
      <c r="BM26" s="18"/>
      <c r="BN26" s="18"/>
      <c r="BO26" s="18"/>
      <c r="BP26" s="18"/>
      <c r="BQ26" s="57">
        <f t="shared" si="9"/>
        <v>0</v>
      </c>
      <c r="BS26" s="247">
        <f>'Base de Datos'!BM107/('Base de Datos'!BM3+'Base de Datos'!BM21)</f>
        <v>96.843054945054945</v>
      </c>
      <c r="BT26" s="247">
        <f>'Base de Datos'!BN107/('Base de Datos'!BN3+'Base de Datos'!BN21)</f>
        <v>35.232142682926828</v>
      </c>
      <c r="BU26" s="247">
        <f>'Base de Datos'!BO107/('Base de Datos'!BO3+'Base de Datos'!BO21)</f>
        <v>30.878000000000007</v>
      </c>
      <c r="BV26" s="247">
        <f>'Base de Datos'!BP107/('Base de Datos'!BP3+'Base de Datos'!BP21)</f>
        <v>38.77502451838879</v>
      </c>
      <c r="BW26" s="247">
        <f>'Base de Datos'!BQ107/('Base de Datos'!BQ3+'Base de Datos'!BQ21)</f>
        <v>37.104956284153005</v>
      </c>
      <c r="BX26" s="247">
        <f>'Base de Datos'!BR107/('Base de Datos'!BR3+'Base de Datos'!BR21)</f>
        <v>63.599604477611933</v>
      </c>
      <c r="BY26" s="247" t="e">
        <f>'Base de Datos'!BS107/('Base de Datos'!BS3+'Base de Datos'!BS21)</f>
        <v>#DIV/0!</v>
      </c>
      <c r="BZ26" s="57" t="e">
        <f t="shared" si="10"/>
        <v>#DIV/0!</v>
      </c>
      <c r="CB26" s="247">
        <f>'Base de Datos'!BV107/('Base de Datos'!BV3+'Base de Datos'!BV21)</f>
        <v>39.198895027624317</v>
      </c>
      <c r="CC26" s="247">
        <f>'Base de Datos'!BW107/('Base de Datos'!BW3+'Base de Datos'!BW21)</f>
        <v>4.8911376146789003</v>
      </c>
      <c r="CD26" s="247">
        <f>'Base de Datos'!BX107/('Base de Datos'!BX3+'Base de Datos'!BX21)</f>
        <v>29.972945205479451</v>
      </c>
      <c r="CE26" s="247">
        <f>'Base de Datos'!BY107/('Base de Datos'!BY3+'Base de Datos'!BY21)</f>
        <v>26.537847198641767</v>
      </c>
      <c r="CF26" s="247">
        <f>'Base de Datos'!BZ107/('Base de Datos'!BZ3+'Base de Datos'!BZ21)</f>
        <v>45.711439393939393</v>
      </c>
      <c r="CG26" s="247">
        <f>'Base de Datos'!CA107/('Base de Datos'!CA3+'Base de Datos'!CA21)</f>
        <v>58.873468354430379</v>
      </c>
      <c r="CH26" s="247">
        <f>'Base de Datos'!CB107/('Base de Datos'!CB3+'Base de Datos'!CB21)</f>
        <v>18.77448051948052</v>
      </c>
      <c r="CI26" s="57">
        <f t="shared" si="11"/>
        <v>223.96021331427471</v>
      </c>
      <c r="CK26" s="247">
        <f>'Base de Datos'!CE107/('Base de Datos'!CE3+'Base de Datos'!CE21)</f>
        <v>5.9992786885245897</v>
      </c>
      <c r="CL26" s="247">
        <f>'Base de Datos'!CF107/('Base de Datos'!CF3+'Base de Datos'!CF21)</f>
        <v>25.17816784037559</v>
      </c>
      <c r="CM26" s="247">
        <f>'Base de Datos'!CG107/('Base de Datos'!CG3+'Base de Datos'!CG21)</f>
        <v>25.504910256410255</v>
      </c>
      <c r="CN26" s="247">
        <f>'Base de Datos'!CH107/('Base de Datos'!CH3+'Base de Datos'!CH21)</f>
        <v>26.777970989761094</v>
      </c>
      <c r="CO26" s="247">
        <f>'Base de Datos'!CI107/('Base de Datos'!CI3+'Base de Datos'!CI21)</f>
        <v>45.163043478260867</v>
      </c>
      <c r="CP26" s="247">
        <f>'Base de Datos'!CJ107/('Base de Datos'!CJ3+'Base de Datos'!CJ21)</f>
        <v>42.099999999999994</v>
      </c>
      <c r="CQ26" s="247">
        <f>'Base de Datos'!CK107/('Base de Datos'!CK3+'Base de Datos'!CK21)</f>
        <v>11.329139072847681</v>
      </c>
      <c r="CR26" s="57">
        <f t="shared" si="12"/>
        <v>182.05251032618008</v>
      </c>
    </row>
    <row r="27" spans="1:96" ht="15" customHeight="1" thickBot="1" x14ac:dyDescent="0.35">
      <c r="A27" s="922"/>
      <c r="B27" s="928"/>
      <c r="C27" s="66" t="s">
        <v>42</v>
      </c>
      <c r="E27" s="61"/>
      <c r="F27" s="64" t="s">
        <v>37</v>
      </c>
      <c r="H27" s="18"/>
      <c r="I27" s="18"/>
      <c r="J27" s="18"/>
      <c r="K27" s="18"/>
      <c r="L27" s="18"/>
      <c r="M27" s="18"/>
      <c r="N27" s="18"/>
      <c r="O27" s="57"/>
      <c r="Q27" s="18"/>
      <c r="R27" s="18"/>
      <c r="S27" s="18"/>
      <c r="T27" s="18"/>
      <c r="U27" s="18"/>
      <c r="V27" s="18"/>
      <c r="W27" s="18"/>
      <c r="X27" s="57"/>
      <c r="Z27" s="18"/>
      <c r="AA27" s="18"/>
      <c r="AB27" s="18"/>
      <c r="AC27" s="18"/>
      <c r="AD27" s="18"/>
      <c r="AE27" s="18"/>
      <c r="AF27" s="18"/>
      <c r="AG27" s="57"/>
      <c r="AI27" s="18"/>
      <c r="AJ27" s="18"/>
      <c r="AK27" s="18"/>
      <c r="AL27" s="18"/>
      <c r="AM27" s="18"/>
      <c r="AN27" s="18"/>
      <c r="AO27" s="18"/>
      <c r="AP27" s="57"/>
      <c r="AR27" s="18"/>
      <c r="AS27" s="18"/>
      <c r="AT27" s="18"/>
      <c r="AU27" s="18"/>
      <c r="AV27" s="18"/>
      <c r="AW27" s="18"/>
      <c r="AX27" s="18"/>
      <c r="AY27" s="57"/>
      <c r="BA27" s="19"/>
      <c r="BB27" s="19"/>
      <c r="BC27" s="19"/>
      <c r="BD27" s="19"/>
      <c r="BE27" s="19"/>
      <c r="BF27" s="19"/>
      <c r="BG27" s="19"/>
      <c r="BH27" s="58"/>
      <c r="BJ27" s="18"/>
      <c r="BK27" s="18"/>
      <c r="BL27" s="18"/>
      <c r="BM27" s="18"/>
      <c r="BN27" s="18"/>
      <c r="BO27" s="18"/>
      <c r="BP27" s="18"/>
      <c r="BQ27" s="57">
        <f t="shared" si="9"/>
        <v>0</v>
      </c>
      <c r="BS27" s="247"/>
      <c r="BT27" s="247"/>
      <c r="BU27" s="247"/>
      <c r="BV27" s="247"/>
      <c r="BW27" s="247"/>
      <c r="BX27" s="247"/>
      <c r="BY27" s="247"/>
      <c r="BZ27" s="57">
        <f t="shared" si="10"/>
        <v>0</v>
      </c>
      <c r="CB27" s="247"/>
      <c r="CC27" s="247"/>
      <c r="CD27" s="247"/>
      <c r="CE27" s="247"/>
      <c r="CF27" s="247"/>
      <c r="CG27" s="247"/>
      <c r="CH27" s="247"/>
      <c r="CI27" s="57">
        <f t="shared" si="11"/>
        <v>0</v>
      </c>
      <c r="CK27" s="247"/>
      <c r="CL27" s="247"/>
      <c r="CM27" s="247"/>
      <c r="CN27" s="247"/>
      <c r="CO27" s="247"/>
      <c r="CP27" s="247"/>
      <c r="CQ27" s="247"/>
      <c r="CR27" s="57">
        <f t="shared" si="12"/>
        <v>0</v>
      </c>
    </row>
    <row r="28" spans="1:96" ht="15" customHeight="1" x14ac:dyDescent="0.3">
      <c r="A28" s="922"/>
      <c r="B28" s="929" t="s">
        <v>18</v>
      </c>
      <c r="C28" s="67" t="s">
        <v>43</v>
      </c>
      <c r="E28" s="61">
        <v>1.1000000000000001</v>
      </c>
      <c r="F28" s="62" t="s">
        <v>37</v>
      </c>
      <c r="H28" s="18"/>
      <c r="I28" s="18"/>
      <c r="J28" s="18"/>
      <c r="K28" s="18"/>
      <c r="L28" s="18"/>
      <c r="M28" s="18"/>
      <c r="N28" s="18"/>
      <c r="O28" s="57"/>
      <c r="Q28" s="18"/>
      <c r="R28" s="18"/>
      <c r="S28" s="18"/>
      <c r="T28" s="18"/>
      <c r="U28" s="18"/>
      <c r="V28" s="18"/>
      <c r="W28" s="18"/>
      <c r="X28" s="57"/>
      <c r="Z28" s="18"/>
      <c r="AA28" s="18"/>
      <c r="AB28" s="18"/>
      <c r="AC28" s="18"/>
      <c r="AD28" s="18"/>
      <c r="AE28" s="18"/>
      <c r="AF28" s="18"/>
      <c r="AG28" s="57"/>
      <c r="AI28" s="18"/>
      <c r="AJ28" s="18"/>
      <c r="AK28" s="18"/>
      <c r="AL28" s="18"/>
      <c r="AM28" s="18"/>
      <c r="AN28" s="18"/>
      <c r="AO28" s="18"/>
      <c r="AP28" s="57"/>
      <c r="AR28" s="18"/>
      <c r="AS28" s="18"/>
      <c r="AT28" s="18"/>
      <c r="AU28" s="18"/>
      <c r="AV28" s="18"/>
      <c r="AW28" s="18"/>
      <c r="AX28" s="18"/>
      <c r="AY28" s="57"/>
      <c r="BA28" s="19"/>
      <c r="BB28" s="19"/>
      <c r="BC28" s="19"/>
      <c r="BD28" s="19"/>
      <c r="BE28" s="19"/>
      <c r="BF28" s="19"/>
      <c r="BG28" s="19"/>
      <c r="BH28" s="58"/>
      <c r="BJ28" s="18"/>
      <c r="BK28" s="18"/>
      <c r="BL28" s="18"/>
      <c r="BM28" s="18"/>
      <c r="BN28" s="18"/>
      <c r="BO28" s="18"/>
      <c r="BP28" s="18"/>
      <c r="BQ28" s="57">
        <f t="shared" si="9"/>
        <v>0</v>
      </c>
      <c r="BS28" s="247">
        <f>'Base de Datos'!BM109/'Base de Datos'!BM39</f>
        <v>0.97297008547008546</v>
      </c>
      <c r="BT28" s="247">
        <f>'Base de Datos'!BN109/'Base de Datos'!BN39</f>
        <v>0.92930402930402933</v>
      </c>
      <c r="BU28" s="247">
        <f>'Base de Datos'!BO109/'Base de Datos'!BO39</f>
        <v>1.0160935350756535</v>
      </c>
      <c r="BV28" s="247">
        <f>'Base de Datos'!BP109/'Base de Datos'!BP39</f>
        <v>1.2136465324384786</v>
      </c>
      <c r="BW28" s="247" t="e">
        <f>'Base de Datos'!BQ109/'Base de Datos'!BQ39</f>
        <v>#DIV/0!</v>
      </c>
      <c r="BX28" s="247" t="e">
        <f>'Base de Datos'!BR109/'Base de Datos'!BR39</f>
        <v>#DIV/0!</v>
      </c>
      <c r="BY28" s="247" t="e">
        <f>'Base de Datos'!BS109/'Base de Datos'!BS39</f>
        <v>#DIV/0!</v>
      </c>
      <c r="BZ28" s="57" t="e">
        <f t="shared" si="10"/>
        <v>#DIV/0!</v>
      </c>
      <c r="CB28" s="247">
        <f>'Base de Datos'!BV109/'Base de Datos'!BV39</f>
        <v>0.8848387096774194</v>
      </c>
      <c r="CC28" s="247">
        <f>'Base de Datos'!BW109/'Base de Datos'!BW39</f>
        <v>0.6958415841584159</v>
      </c>
      <c r="CD28" s="247">
        <f>'Base de Datos'!BX109/'Base de Datos'!BX39</f>
        <v>1.1489247311827955</v>
      </c>
      <c r="CE28" s="247">
        <f>'Base de Datos'!BY109/'Base de Datos'!BY39</f>
        <v>0.60665362035225046</v>
      </c>
      <c r="CF28" s="247">
        <f>'Base de Datos'!BZ109/'Base de Datos'!BZ39</f>
        <v>2.7692307692307692</v>
      </c>
      <c r="CG28" s="247" t="e">
        <f>'Base de Datos'!CA109/'Base de Datos'!CA39</f>
        <v>#DIV/0!</v>
      </c>
      <c r="CH28" s="247" t="e">
        <f>'Base de Datos'!CB109/'Base de Datos'!CB39</f>
        <v>#DIV/0!</v>
      </c>
      <c r="CI28" s="57" t="e">
        <f t="shared" si="11"/>
        <v>#DIV/0!</v>
      </c>
      <c r="CK28" s="247">
        <f>'Base de Datos'!CE109/'Base de Datos'!CE39</f>
        <v>0.86333333333333329</v>
      </c>
      <c r="CL28" s="247">
        <f>'Base de Datos'!CF109/'Base de Datos'!CF39</f>
        <v>0.72877906976744189</v>
      </c>
      <c r="CM28" s="247">
        <f>'Base de Datos'!CG109/'Base de Datos'!CG39</f>
        <v>0.77657992565055767</v>
      </c>
      <c r="CN28" s="247">
        <f>'Base de Datos'!CH109/'Base de Datos'!CH39</f>
        <v>0.73291925465838503</v>
      </c>
      <c r="CO28" s="247" t="e">
        <f>'Base de Datos'!CI109/'Base de Datos'!CI39</f>
        <v>#DIV/0!</v>
      </c>
      <c r="CP28" s="247" t="e">
        <f>'Base de Datos'!CJ109/'Base de Datos'!CJ39</f>
        <v>#DIV/0!</v>
      </c>
      <c r="CQ28" s="247" t="e">
        <f>'Base de Datos'!CK109/'Base de Datos'!CK39</f>
        <v>#DIV/0!</v>
      </c>
      <c r="CR28" s="57" t="e">
        <f t="shared" si="12"/>
        <v>#DIV/0!</v>
      </c>
    </row>
    <row r="29" spans="1:96" ht="15" customHeight="1" x14ac:dyDescent="0.3">
      <c r="A29" s="922"/>
      <c r="B29" s="930"/>
      <c r="C29" s="68" t="s">
        <v>44</v>
      </c>
      <c r="E29" s="61">
        <v>66</v>
      </c>
      <c r="F29" s="64" t="s">
        <v>37</v>
      </c>
      <c r="H29" s="18"/>
      <c r="I29" s="18"/>
      <c r="J29" s="18"/>
      <c r="K29" s="18"/>
      <c r="L29" s="18"/>
      <c r="M29" s="18"/>
      <c r="N29" s="18"/>
      <c r="O29" s="57"/>
      <c r="Q29" s="18"/>
      <c r="R29" s="18"/>
      <c r="S29" s="18"/>
      <c r="T29" s="18"/>
      <c r="U29" s="18"/>
      <c r="V29" s="18"/>
      <c r="W29" s="18"/>
      <c r="X29" s="57"/>
      <c r="Z29" s="18"/>
      <c r="AA29" s="18"/>
      <c r="AB29" s="18"/>
      <c r="AC29" s="18"/>
      <c r="AD29" s="18"/>
      <c r="AE29" s="18"/>
      <c r="AF29" s="18"/>
      <c r="AG29" s="57"/>
      <c r="AI29" s="18"/>
      <c r="AJ29" s="18"/>
      <c r="AK29" s="18"/>
      <c r="AL29" s="18"/>
      <c r="AM29" s="18"/>
      <c r="AN29" s="18"/>
      <c r="AO29" s="18"/>
      <c r="AP29" s="57"/>
      <c r="AR29" s="18"/>
      <c r="AS29" s="18"/>
      <c r="AT29" s="18"/>
      <c r="AU29" s="18"/>
      <c r="AV29" s="18"/>
      <c r="AW29" s="18"/>
      <c r="AX29" s="18"/>
      <c r="AY29" s="57"/>
      <c r="BA29" s="19"/>
      <c r="BB29" s="19"/>
      <c r="BC29" s="19"/>
      <c r="BD29" s="19"/>
      <c r="BE29" s="19"/>
      <c r="BF29" s="19"/>
      <c r="BG29" s="19"/>
      <c r="BH29" s="58"/>
      <c r="BJ29" s="18"/>
      <c r="BK29" s="18"/>
      <c r="BL29" s="18"/>
      <c r="BM29" s="18"/>
      <c r="BN29" s="18"/>
      <c r="BO29" s="18"/>
      <c r="BP29" s="18"/>
      <c r="BQ29" s="57">
        <f t="shared" si="9"/>
        <v>0</v>
      </c>
      <c r="BS29" s="247">
        <f>'Base de Datos'!BM41/('Base de Datos'!BM3+'Base de Datos'!BM21)</f>
        <v>173.11904761904759</v>
      </c>
      <c r="BT29" s="247">
        <f>'Base de Datos'!BN41/('Base de Datos'!BN3+'Base de Datos'!BN21)</f>
        <v>36.358414634146342</v>
      </c>
      <c r="BU29" s="247">
        <f>'Base de Datos'!BO41/('Base de Datos'!BO3+'Base de Datos'!BO21)</f>
        <v>60.59154518950438</v>
      </c>
      <c r="BV29" s="247">
        <f>'Base de Datos'!BP41/('Base de Datos'!BP3+'Base de Datos'!BP21)</f>
        <v>56.083012259194398</v>
      </c>
      <c r="BW29" s="247">
        <f>'Base de Datos'!BQ41/('Base de Datos'!BQ3+'Base de Datos'!BQ21)</f>
        <v>20.180054644808742</v>
      </c>
      <c r="BX29" s="247">
        <f>'Base de Datos'!BR41/('Base de Datos'!BR3+'Base de Datos'!BR21)</f>
        <v>23.883582089552238</v>
      </c>
      <c r="BY29" s="247" t="e">
        <f>'Base de Datos'!BS41/('Base de Datos'!BS3+'Base de Datos'!BS21)</f>
        <v>#DIV/0!</v>
      </c>
      <c r="BZ29" s="57" t="e">
        <f t="shared" si="10"/>
        <v>#DIV/0!</v>
      </c>
      <c r="CB29" s="247">
        <f>'Base de Datos'!BV41/('Base de Datos'!BV3+'Base de Datos'!BV21)</f>
        <v>120.59060773480665</v>
      </c>
      <c r="CC29" s="247">
        <f>'Base de Datos'!BW41/('Base de Datos'!BW3+'Base de Datos'!BW21)</f>
        <v>48.452293577981656</v>
      </c>
      <c r="CD29" s="247">
        <f>'Base de Datos'!BX41/('Base de Datos'!BX3+'Base de Datos'!BX21)</f>
        <v>34.503486924034874</v>
      </c>
      <c r="CE29" s="247">
        <f>'Base de Datos'!BY41/('Base de Datos'!BY3+'Base de Datos'!BY21)</f>
        <v>53.361629881154499</v>
      </c>
      <c r="CF29" s="247">
        <f>'Base de Datos'!BZ41/('Base de Datos'!BZ3+'Base de Datos'!BZ21)</f>
        <v>50.856818181818177</v>
      </c>
      <c r="CG29" s="247">
        <f>'Base de Datos'!CA41/('Base de Datos'!CA3+'Base de Datos'!CA21)</f>
        <v>35.569620253164558</v>
      </c>
      <c r="CH29" s="247">
        <f>'Base de Datos'!CB41/('Base de Datos'!CB3+'Base de Datos'!CB21)</f>
        <v>36.981818181818177</v>
      </c>
      <c r="CI29" s="57">
        <f t="shared" si="11"/>
        <v>380.31627473477863</v>
      </c>
      <c r="CK29" s="247">
        <f>'Base de Datos'!CE41/('Base de Datos'!CE3+'Base de Datos'!CE21)</f>
        <v>78.641393442622956</v>
      </c>
      <c r="CL29" s="247">
        <f>'Base de Datos'!CF41/('Base de Datos'!CF3+'Base de Datos'!CF21)</f>
        <v>38.404225352112682</v>
      </c>
      <c r="CM29" s="247">
        <f>'Base de Datos'!CG41/('Base de Datos'!CG3+'Base de Datos'!CG21)</f>
        <v>67.072564102564101</v>
      </c>
      <c r="CN29" s="247">
        <f>'Base de Datos'!CH41/('Base de Datos'!CH3+'Base de Datos'!CH21)</f>
        <v>59.104266211604106</v>
      </c>
      <c r="CO29" s="247">
        <f>'Base de Datos'!CI41/('Base de Datos'!CI3+'Base de Datos'!CI21)</f>
        <v>18.442028985507246</v>
      </c>
      <c r="CP29" s="247">
        <f>'Base de Datos'!CJ41/('Base de Datos'!CJ3+'Base de Datos'!CJ21)</f>
        <v>21.021505376344084</v>
      </c>
      <c r="CQ29" s="247">
        <f>'Base de Datos'!CK41/('Base de Datos'!CK3+'Base de Datos'!CK21)</f>
        <v>21.456953642384107</v>
      </c>
      <c r="CR29" s="57">
        <f t="shared" si="12"/>
        <v>304.14293711313928</v>
      </c>
    </row>
    <row r="30" spans="1:96" ht="15" customHeight="1" x14ac:dyDescent="0.3">
      <c r="A30" s="922"/>
      <c r="B30" s="930"/>
      <c r="C30" s="68" t="s">
        <v>45</v>
      </c>
      <c r="E30" s="61">
        <v>3.4</v>
      </c>
      <c r="F30" s="62" t="s">
        <v>37</v>
      </c>
      <c r="H30" s="18"/>
      <c r="I30" s="18"/>
      <c r="J30" s="18"/>
      <c r="K30" s="18"/>
      <c r="L30" s="18"/>
      <c r="M30" s="18"/>
      <c r="N30" s="18"/>
      <c r="O30" s="57"/>
      <c r="Q30" s="18"/>
      <c r="R30" s="18"/>
      <c r="S30" s="18"/>
      <c r="T30" s="18"/>
      <c r="U30" s="18"/>
      <c r="V30" s="18"/>
      <c r="W30" s="18"/>
      <c r="X30" s="57"/>
      <c r="Z30" s="18"/>
      <c r="AA30" s="18"/>
      <c r="AB30" s="18"/>
      <c r="AC30" s="18"/>
      <c r="AD30" s="18"/>
      <c r="AE30" s="18"/>
      <c r="AF30" s="18"/>
      <c r="AG30" s="57"/>
      <c r="AI30" s="18"/>
      <c r="AJ30" s="18"/>
      <c r="AK30" s="18"/>
      <c r="AL30" s="18"/>
      <c r="AM30" s="18"/>
      <c r="AN30" s="18"/>
      <c r="AO30" s="18"/>
      <c r="AP30" s="57"/>
      <c r="AR30" s="18"/>
      <c r="AS30" s="18"/>
      <c r="AT30" s="18"/>
      <c r="AU30" s="18"/>
      <c r="AV30" s="18"/>
      <c r="AW30" s="18"/>
      <c r="AX30" s="18"/>
      <c r="AY30" s="57"/>
      <c r="BA30" s="19"/>
      <c r="BB30" s="19"/>
      <c r="BC30" s="19"/>
      <c r="BD30" s="19"/>
      <c r="BE30" s="19"/>
      <c r="BF30" s="19"/>
      <c r="BG30" s="19"/>
      <c r="BH30" s="58"/>
      <c r="BJ30" s="18"/>
      <c r="BK30" s="18"/>
      <c r="BL30" s="18"/>
      <c r="BM30" s="18"/>
      <c r="BN30" s="18"/>
      <c r="BO30" s="18"/>
      <c r="BP30" s="18"/>
      <c r="BQ30" s="57">
        <f t="shared" si="9"/>
        <v>0</v>
      </c>
      <c r="BS30" s="247">
        <f>'Base de Datos'!BM111/'Base de Datos'!BM39</f>
        <v>2.9095606917819499</v>
      </c>
      <c r="BT30" s="247">
        <f>'Base de Datos'!BN111/'Base de Datos'!BN39</f>
        <v>2.944567516024502</v>
      </c>
      <c r="BU30" s="247">
        <f>'Base de Datos'!BO111/'Base de Datos'!BO39</f>
        <v>3.2702230323457773</v>
      </c>
      <c r="BV30" s="247">
        <f>'Base de Datos'!BP111/'Base de Datos'!BP39</f>
        <v>3.8584032335441876</v>
      </c>
      <c r="BW30" s="247" t="e">
        <f>'Base de Datos'!BQ111/'Base de Datos'!BQ39</f>
        <v>#DIV/0!</v>
      </c>
      <c r="BX30" s="247" t="e">
        <f>'Base de Datos'!BR111/'Base de Datos'!BR39</f>
        <v>#DIV/0!</v>
      </c>
      <c r="BY30" s="247" t="e">
        <f>'Base de Datos'!BS111/'Base de Datos'!BS39</f>
        <v>#DIV/0!</v>
      </c>
      <c r="BZ30" s="57" t="e">
        <f t="shared" si="10"/>
        <v>#DIV/0!</v>
      </c>
      <c r="CB30" s="247">
        <f>'Base de Datos'!BV111/'Base de Datos'!BV39</f>
        <v>2.8668774193548385</v>
      </c>
      <c r="CC30" s="247">
        <f>'Base de Datos'!BW111/'Base de Datos'!BW39</f>
        <v>2.5500613500852274</v>
      </c>
      <c r="CD30" s="247">
        <f>'Base de Datos'!BX111/'Base de Datos'!BX39</f>
        <v>3.6918737543367524</v>
      </c>
      <c r="CE30" s="247">
        <f>'Base de Datos'!BY111/'Base de Datos'!BY39</f>
        <v>1.8892909901317014</v>
      </c>
      <c r="CF30" s="247">
        <f>'Base de Datos'!BZ111/'Base de Datos'!BZ39</f>
        <v>9.7538118820364286</v>
      </c>
      <c r="CG30" s="247" t="e">
        <f>'Base de Datos'!CA111/'Base de Datos'!CA39</f>
        <v>#DIV/0!</v>
      </c>
      <c r="CH30" s="247" t="e">
        <f>'Base de Datos'!CB111/'Base de Datos'!CB39</f>
        <v>#DIV/0!</v>
      </c>
      <c r="CI30" s="57" t="e">
        <f t="shared" si="11"/>
        <v>#DIV/0!</v>
      </c>
      <c r="CK30" s="247">
        <f>'Base de Datos'!CE111/'Base de Datos'!CE39</f>
        <v>3.1494696211579698</v>
      </c>
      <c r="CL30" s="247">
        <f>'Base de Datos'!CF111/'Base de Datos'!CF39</f>
        <v>2.6979059547601745</v>
      </c>
      <c r="CM30" s="247">
        <f>'Base de Datos'!CG111/'Base de Datos'!CG39</f>
        <v>2.7615191890761537</v>
      </c>
      <c r="CN30" s="247">
        <f>'Base de Datos'!CH111/'Base de Datos'!CH39</f>
        <v>2.7506211687656505</v>
      </c>
      <c r="CO30" s="247" t="e">
        <f>'Base de Datos'!CI111/'Base de Datos'!CI39</f>
        <v>#DIV/0!</v>
      </c>
      <c r="CP30" s="247" t="e">
        <f>'Base de Datos'!CJ111/'Base de Datos'!CJ39</f>
        <v>#DIV/0!</v>
      </c>
      <c r="CQ30" s="247" t="e">
        <f>'Base de Datos'!CK111/'Base de Datos'!CK39</f>
        <v>#DIV/0!</v>
      </c>
      <c r="CR30" s="57" t="e">
        <f t="shared" si="12"/>
        <v>#DIV/0!</v>
      </c>
    </row>
    <row r="31" spans="1:96" ht="15" customHeight="1" thickBot="1" x14ac:dyDescent="0.35">
      <c r="A31" s="922"/>
      <c r="B31" s="931"/>
      <c r="C31" s="69" t="s">
        <v>46</v>
      </c>
      <c r="E31" s="61">
        <v>350</v>
      </c>
      <c r="F31" s="64" t="s">
        <v>37</v>
      </c>
      <c r="H31" s="18"/>
      <c r="I31" s="18"/>
      <c r="J31" s="18"/>
      <c r="K31" s="18"/>
      <c r="L31" s="18"/>
      <c r="M31" s="18"/>
      <c r="N31" s="18"/>
      <c r="O31" s="57"/>
      <c r="Q31" s="18"/>
      <c r="R31" s="18"/>
      <c r="S31" s="18"/>
      <c r="T31" s="18"/>
      <c r="U31" s="18"/>
      <c r="V31" s="18"/>
      <c r="W31" s="18"/>
      <c r="X31" s="57"/>
      <c r="Z31" s="18"/>
      <c r="AA31" s="18"/>
      <c r="AB31" s="18"/>
      <c r="AC31" s="18"/>
      <c r="AD31" s="18"/>
      <c r="AE31" s="18"/>
      <c r="AF31" s="18"/>
      <c r="AG31" s="57"/>
      <c r="AI31" s="18"/>
      <c r="AJ31" s="18"/>
      <c r="AK31" s="18"/>
      <c r="AL31" s="18"/>
      <c r="AM31" s="18"/>
      <c r="AN31" s="18"/>
      <c r="AO31" s="18"/>
      <c r="AP31" s="57"/>
      <c r="AR31" s="18"/>
      <c r="AS31" s="18"/>
      <c r="AT31" s="18"/>
      <c r="AU31" s="18"/>
      <c r="AV31" s="18"/>
      <c r="AW31" s="18"/>
      <c r="AX31" s="18"/>
      <c r="AY31" s="57"/>
      <c r="BA31" s="19"/>
      <c r="BB31" s="19"/>
      <c r="BC31" s="19"/>
      <c r="BD31" s="19"/>
      <c r="BE31" s="19"/>
      <c r="BF31" s="19"/>
      <c r="BG31" s="19"/>
      <c r="BH31" s="58"/>
      <c r="BJ31" s="18"/>
      <c r="BK31" s="18"/>
      <c r="BL31" s="18"/>
      <c r="BM31" s="18"/>
      <c r="BN31" s="18"/>
      <c r="BO31" s="18"/>
      <c r="BP31" s="18"/>
      <c r="BQ31" s="57">
        <f t="shared" si="9"/>
        <v>0</v>
      </c>
      <c r="BS31" s="247">
        <f>'Base de Datos'!BM113/('Base de Datos'!BM3+'Base de Datos'!BM21)</f>
        <v>722.32747252747254</v>
      </c>
      <c r="BT31" s="247">
        <f>'Base de Datos'!BN113/('Base de Datos'!BN3+'Base de Datos'!BN21)</f>
        <v>211.10695121951221</v>
      </c>
      <c r="BU31" s="247">
        <f>'Base de Datos'!BO113/('Base de Datos'!BO3+'Base de Datos'!BO21)</f>
        <v>268.74358600583093</v>
      </c>
      <c r="BV31" s="247">
        <f>'Base de Datos'!BP113/('Base de Datos'!BP3+'Base de Datos'!BP21)</f>
        <v>306.78143607705783</v>
      </c>
      <c r="BW31" s="247">
        <f>'Base de Datos'!BQ113/('Base de Datos'!BQ3+'Base de Datos'!BQ21)</f>
        <v>359.8486338797814</v>
      </c>
      <c r="BX31" s="247">
        <f>'Base de Datos'!BR113/('Base de Datos'!BR3+'Base de Datos'!BR21)</f>
        <v>1110.5604477611939</v>
      </c>
      <c r="BY31" s="247" t="e">
        <f>'Base de Datos'!BS113/('Base de Datos'!BS3+'Base de Datos'!BS21)</f>
        <v>#DIV/0!</v>
      </c>
      <c r="BZ31" s="57" t="e">
        <f t="shared" si="10"/>
        <v>#DIV/0!</v>
      </c>
      <c r="CB31" s="247">
        <f>'Base de Datos'!BV113/('Base de Datos'!BV3+'Base de Datos'!BV21)</f>
        <v>632.57071823204433</v>
      </c>
      <c r="CC31" s="247">
        <f>'Base de Datos'!BW113/('Base de Datos'!BW3+'Base de Datos'!BW21)</f>
        <v>267.74805045871562</v>
      </c>
      <c r="CD31" s="247">
        <f>'Base de Datos'!BX113/('Base de Datos'!BX3+'Base de Datos'!BX21)</f>
        <v>228.96438356164384</v>
      </c>
      <c r="CE31" s="247">
        <f>'Base de Datos'!BY113/('Base de Datos'!BY3+'Base de Datos'!BY21)</f>
        <v>336.63225806451612</v>
      </c>
      <c r="CF31" s="247">
        <f>'Base de Datos'!BZ113/('Base de Datos'!BZ3+'Base de Datos'!BZ21)</f>
        <v>542.05189393939395</v>
      </c>
      <c r="CG31" s="247">
        <f>'Base de Datos'!CA113/('Base de Datos'!CA3+'Base de Datos'!CA21)</f>
        <v>1259.553164556962</v>
      </c>
      <c r="CH31" s="247">
        <f>'Base de Datos'!CB113/('Base de Datos'!CB3+'Base de Datos'!CB21)</f>
        <v>1303.4948051948052</v>
      </c>
      <c r="CI31" s="57">
        <f t="shared" si="11"/>
        <v>4571.0152740080812</v>
      </c>
      <c r="CK31" s="247">
        <f>'Base de Datos'!CE113/('Base de Datos'!CE3+'Base de Datos'!CE21)</f>
        <v>0</v>
      </c>
      <c r="CL31" s="247">
        <f>'Base de Datos'!CF113/('Base de Datos'!CF3+'Base de Datos'!CF21)</f>
        <v>244.2104460093897</v>
      </c>
      <c r="CM31" s="247">
        <f>'Base de Datos'!CG113/('Base de Datos'!CG3+'Base de Datos'!CG21)</f>
        <v>320.16192307692307</v>
      </c>
      <c r="CN31" s="247">
        <f>'Base de Datos'!CH113/('Base de Datos'!CH3+'Base de Datos'!CH21)</f>
        <v>364.68054607508532</v>
      </c>
      <c r="CO31" s="247">
        <f>'Base de Datos'!CI113/('Base de Datos'!CI3+'Base de Datos'!CI21)</f>
        <v>484.20289855072463</v>
      </c>
      <c r="CP31" s="247">
        <f>'Base de Datos'!CJ113/('Base de Datos'!CJ3+'Base de Datos'!CJ21)</f>
        <v>495.16129032258061</v>
      </c>
      <c r="CQ31" s="247">
        <f>'Base de Datos'!CK113/('Base de Datos'!CK3+'Base de Datos'!CK21)</f>
        <v>486.62251655629143</v>
      </c>
      <c r="CR31" s="57">
        <f t="shared" si="12"/>
        <v>2395.0396205909947</v>
      </c>
    </row>
    <row r="32" spans="1:96" ht="15" customHeight="1" x14ac:dyDescent="0.3">
      <c r="A32" s="922"/>
      <c r="B32" s="924" t="s">
        <v>47</v>
      </c>
      <c r="C32" s="54" t="s">
        <v>48</v>
      </c>
      <c r="E32" s="61">
        <v>5.5</v>
      </c>
      <c r="F32" s="62" t="s">
        <v>37</v>
      </c>
      <c r="H32" s="18"/>
      <c r="I32" s="18"/>
      <c r="J32" s="18"/>
      <c r="K32" s="18"/>
      <c r="L32" s="18"/>
      <c r="M32" s="18"/>
      <c r="N32" s="18"/>
      <c r="O32" s="57"/>
      <c r="Q32" s="18"/>
      <c r="R32" s="18"/>
      <c r="S32" s="18"/>
      <c r="T32" s="18"/>
      <c r="U32" s="18"/>
      <c r="V32" s="18"/>
      <c r="W32" s="18"/>
      <c r="X32" s="57"/>
      <c r="Z32" s="18"/>
      <c r="AA32" s="18"/>
      <c r="AB32" s="18"/>
      <c r="AC32" s="18"/>
      <c r="AD32" s="18"/>
      <c r="AE32" s="18"/>
      <c r="AF32" s="18"/>
      <c r="AG32" s="57"/>
      <c r="AI32" s="18"/>
      <c r="AJ32" s="18"/>
      <c r="AK32" s="18"/>
      <c r="AL32" s="18"/>
      <c r="AM32" s="18"/>
      <c r="AN32" s="18"/>
      <c r="AO32" s="18"/>
      <c r="AP32" s="57"/>
      <c r="AR32" s="18"/>
      <c r="AS32" s="18"/>
      <c r="AT32" s="18"/>
      <c r="AU32" s="18"/>
      <c r="AV32" s="18"/>
      <c r="AW32" s="18"/>
      <c r="AX32" s="18"/>
      <c r="AY32" s="57"/>
      <c r="BA32" s="19"/>
      <c r="BB32" s="19"/>
      <c r="BC32" s="19"/>
      <c r="BD32" s="19"/>
      <c r="BE32" s="19"/>
      <c r="BF32" s="19"/>
      <c r="BG32" s="19"/>
      <c r="BH32" s="58"/>
      <c r="BJ32" s="18"/>
      <c r="BK32" s="18"/>
      <c r="BL32" s="18"/>
      <c r="BM32" s="18"/>
      <c r="BN32" s="18"/>
      <c r="BO32" s="18"/>
      <c r="BP32" s="18"/>
      <c r="BQ32" s="57">
        <f t="shared" si="9"/>
        <v>0</v>
      </c>
      <c r="BS32" s="247">
        <f>'Base de Datos'!BM114/'Base de Datos'!BM39</f>
        <v>3.1372930769230769</v>
      </c>
      <c r="BT32" s="247">
        <f>'Base de Datos'!BN114/'Base de Datos'!BN39</f>
        <v>4.6774450549450544</v>
      </c>
      <c r="BU32" s="247">
        <f>'Base de Datos'!BO114/'Base de Datos'!BO39</f>
        <v>6.1091673177441539</v>
      </c>
      <c r="BV32" s="247">
        <f>'Base de Datos'!BP114/'Base de Datos'!BP39</f>
        <v>7.7324255033557039</v>
      </c>
      <c r="BW32" s="247" t="e">
        <f>'Base de Datos'!BQ114/'Base de Datos'!BQ39</f>
        <v>#DIV/0!</v>
      </c>
      <c r="BX32" s="247" t="e">
        <f>'Base de Datos'!BR114/'Base de Datos'!BR39</f>
        <v>#DIV/0!</v>
      </c>
      <c r="BY32" s="247" t="e">
        <f>'Base de Datos'!BS114/'Base de Datos'!BS39</f>
        <v>#DIV/0!</v>
      </c>
      <c r="BZ32" s="57" t="e">
        <f t="shared" si="10"/>
        <v>#DIV/0!</v>
      </c>
      <c r="CB32" s="247">
        <f>'Base de Datos'!BV114/'Base de Datos'!BV39</f>
        <v>3.9539380645161293</v>
      </c>
      <c r="CC32" s="247">
        <f>'Base de Datos'!BW114/'Base de Datos'!BW39</f>
        <v>3.1487524752475249</v>
      </c>
      <c r="CD32" s="247">
        <f>'Base de Datos'!BX114/'Base de Datos'!BX39</f>
        <v>6.0532258064516116</v>
      </c>
      <c r="CE32" s="247">
        <f>'Base de Datos'!BY114/'Base de Datos'!BY39</f>
        <v>3.088219843444227</v>
      </c>
      <c r="CF32" s="247">
        <f>'Base de Datos'!BZ114/'Base de Datos'!BZ39</f>
        <v>24.407988923076921</v>
      </c>
      <c r="CG32" s="247" t="e">
        <f>'Base de Datos'!CA114/'Base de Datos'!CA39</f>
        <v>#DIV/0!</v>
      </c>
      <c r="CH32" s="247" t="e">
        <f>'Base de Datos'!CB114/'Base de Datos'!CB39</f>
        <v>#DIV/0!</v>
      </c>
      <c r="CI32" s="57" t="e">
        <f t="shared" si="11"/>
        <v>#DIV/0!</v>
      </c>
      <c r="CK32" s="247">
        <f>'Base de Datos'!CE114/'Base de Datos'!CE39</f>
        <v>3.645428571428571</v>
      </c>
      <c r="CL32" s="247">
        <f>'Base de Datos'!CF114/'Base de Datos'!CF39</f>
        <v>3.3248794186046511</v>
      </c>
      <c r="CM32" s="247">
        <f>'Base de Datos'!CG114/'Base de Datos'!CG39</f>
        <v>3.1682050929368031</v>
      </c>
      <c r="CN32" s="247">
        <f>'Base de Datos'!CH114/'Base de Datos'!CH39</f>
        <v>3.5732677639751547</v>
      </c>
      <c r="CO32" s="247" t="e">
        <f>'Base de Datos'!CI114/'Base de Datos'!CI39</f>
        <v>#DIV/0!</v>
      </c>
      <c r="CP32" s="247" t="e">
        <f>'Base de Datos'!CJ114/'Base de Datos'!CJ39</f>
        <v>#DIV/0!</v>
      </c>
      <c r="CQ32" s="247" t="e">
        <f>'Base de Datos'!CK114/'Base de Datos'!CK39</f>
        <v>#DIV/0!</v>
      </c>
      <c r="CR32" s="57" t="e">
        <f t="shared" si="12"/>
        <v>#DIV/0!</v>
      </c>
    </row>
    <row r="33" spans="1:96" ht="15" customHeight="1" x14ac:dyDescent="0.3">
      <c r="A33" s="922"/>
      <c r="B33" s="925"/>
      <c r="C33" s="60" t="s">
        <v>49</v>
      </c>
      <c r="E33" s="61" t="s">
        <v>228</v>
      </c>
      <c r="F33" s="64" t="s">
        <v>37</v>
      </c>
      <c r="H33" s="18"/>
      <c r="I33" s="18"/>
      <c r="J33" s="18"/>
      <c r="K33" s="18"/>
      <c r="L33" s="18"/>
      <c r="M33" s="18"/>
      <c r="N33" s="18"/>
      <c r="O33" s="57"/>
      <c r="Q33" s="18"/>
      <c r="R33" s="18"/>
      <c r="S33" s="18"/>
      <c r="T33" s="18"/>
      <c r="U33" s="18"/>
      <c r="V33" s="18"/>
      <c r="W33" s="18"/>
      <c r="X33" s="57"/>
      <c r="Z33" s="18"/>
      <c r="AA33" s="18"/>
      <c r="AB33" s="18"/>
      <c r="AC33" s="18"/>
      <c r="AD33" s="18"/>
      <c r="AE33" s="18"/>
      <c r="AF33" s="18"/>
      <c r="AG33" s="57"/>
      <c r="AI33" s="18"/>
      <c r="AJ33" s="18"/>
      <c r="AK33" s="18"/>
      <c r="AL33" s="18"/>
      <c r="AM33" s="18"/>
      <c r="AN33" s="18"/>
      <c r="AO33" s="18"/>
      <c r="AP33" s="57"/>
      <c r="AR33" s="18"/>
      <c r="AS33" s="18"/>
      <c r="AT33" s="18"/>
      <c r="AU33" s="18"/>
      <c r="AV33" s="18"/>
      <c r="AW33" s="18"/>
      <c r="AX33" s="18"/>
      <c r="AY33" s="57"/>
      <c r="BA33" s="19"/>
      <c r="BB33" s="19"/>
      <c r="BC33" s="19"/>
      <c r="BD33" s="19"/>
      <c r="BE33" s="19"/>
      <c r="BF33" s="19"/>
      <c r="BG33" s="19"/>
      <c r="BH33" s="58"/>
      <c r="BJ33" s="18"/>
      <c r="BK33" s="18"/>
      <c r="BL33" s="18"/>
      <c r="BM33" s="18"/>
      <c r="BN33" s="18"/>
      <c r="BO33" s="18"/>
      <c r="BP33" s="18"/>
      <c r="BQ33" s="57">
        <f t="shared" si="9"/>
        <v>0</v>
      </c>
      <c r="BS33" s="247">
        <f>'Base de Datos'!BM115/('Base de Datos'!BM3+'Base de Datos'!BM21)</f>
        <v>198.90036630036627</v>
      </c>
      <c r="BT33" s="247">
        <f>'Base de Datos'!BN115/('Base de Datos'!BN3+'Base de Datos'!BN21)</f>
        <v>69.546829268292683</v>
      </c>
      <c r="BU33" s="247">
        <f>'Base de Datos'!BO115/('Base de Datos'!BO3+'Base de Datos'!BO21)</f>
        <v>33.463411078717208</v>
      </c>
      <c r="BV33" s="247">
        <f>'Base de Datos'!BP115/('Base de Datos'!BP3+'Base de Datos'!BP21)</f>
        <v>40.548336252189138</v>
      </c>
      <c r="BW33" s="247">
        <f>'Base de Datos'!BQ115/('Base de Datos'!BQ3+'Base de Datos'!BQ21)</f>
        <v>72.923497267759558</v>
      </c>
      <c r="BX33" s="247">
        <f>'Base de Datos'!BR115/('Base de Datos'!BR3+'Base de Datos'!BR21)</f>
        <v>153.20895522388059</v>
      </c>
      <c r="BY33" s="247" t="e">
        <f>'Base de Datos'!BS115/('Base de Datos'!BS3+'Base de Datos'!BS21)</f>
        <v>#DIV/0!</v>
      </c>
      <c r="BZ33" s="57" t="e">
        <f t="shared" si="10"/>
        <v>#DIV/0!</v>
      </c>
      <c r="CB33" s="247">
        <f>'Base de Datos'!BV115/('Base de Datos'!BV3+'Base de Datos'!BV21)</f>
        <v>190.22955801104976</v>
      </c>
      <c r="CC33" s="247">
        <f>'Base de Datos'!BW115/('Base de Datos'!BW3+'Base de Datos'!BW21)</f>
        <v>81.059403669724787</v>
      </c>
      <c r="CD33" s="247">
        <f>'Base de Datos'!BX115/('Base de Datos'!BX3+'Base de Datos'!BX21)</f>
        <v>87.173100871731009</v>
      </c>
      <c r="CE33" s="247">
        <f>'Base de Datos'!BY115/('Base de Datos'!BY3+'Base de Datos'!BY21)</f>
        <v>80.996604414261455</v>
      </c>
      <c r="CF33" s="247">
        <f>'Base de Datos'!BZ115/('Base de Datos'!BZ3+'Base de Datos'!BZ21)</f>
        <v>131.95492424242425</v>
      </c>
      <c r="CG33" s="247">
        <f>'Base de Datos'!CA115/('Base de Datos'!CA3+'Base de Datos'!CA21)</f>
        <v>24.948101265822785</v>
      </c>
      <c r="CH33" s="247">
        <f>'Base de Datos'!CB115/('Base de Datos'!CB3+'Base de Datos'!CB21)</f>
        <v>23.3</v>
      </c>
      <c r="CI33" s="57">
        <f t="shared" si="11"/>
        <v>619.66169247501398</v>
      </c>
      <c r="CK33" s="247">
        <f>'Base de Datos'!CE115/('Base de Datos'!CE3+'Base de Datos'!CE21)</f>
        <v>15.301639344262297</v>
      </c>
      <c r="CL33" s="247">
        <f>'Base de Datos'!CF115/('Base de Datos'!CF3+'Base de Datos'!CF21)</f>
        <v>155.80669014084509</v>
      </c>
      <c r="CM33" s="247">
        <f>'Base de Datos'!CG115/('Base de Datos'!CG3+'Base de Datos'!CG21)</f>
        <v>94.568333333333328</v>
      </c>
      <c r="CN33" s="247">
        <f>'Base de Datos'!CH115/('Base de Datos'!CH3+'Base de Datos'!CH21)</f>
        <v>128.08600682593857</v>
      </c>
      <c r="CO33" s="247">
        <f>'Base de Datos'!CI115/('Base de Datos'!CI3+'Base de Datos'!CI21)</f>
        <v>0</v>
      </c>
      <c r="CP33" s="247">
        <f>'Base de Datos'!CJ115/('Base de Datos'!CJ3+'Base de Datos'!CJ21)</f>
        <v>0</v>
      </c>
      <c r="CQ33" s="247">
        <f>'Base de Datos'!CK115/('Base de Datos'!CK3+'Base de Datos'!CK21)</f>
        <v>0</v>
      </c>
      <c r="CR33" s="57">
        <f t="shared" si="12"/>
        <v>393.76266964437929</v>
      </c>
    </row>
    <row r="34" spans="1:96" ht="15" customHeight="1" x14ac:dyDescent="0.3">
      <c r="A34" s="922"/>
      <c r="B34" s="926"/>
      <c r="C34" s="63" t="s">
        <v>50</v>
      </c>
      <c r="E34" s="61">
        <v>59</v>
      </c>
      <c r="F34" s="62" t="s">
        <v>37</v>
      </c>
      <c r="H34" s="18"/>
      <c r="I34" s="18"/>
      <c r="J34" s="18"/>
      <c r="K34" s="18"/>
      <c r="L34" s="18"/>
      <c r="M34" s="18"/>
      <c r="N34" s="18"/>
      <c r="O34" s="57"/>
      <c r="Q34" s="18"/>
      <c r="R34" s="18"/>
      <c r="S34" s="18"/>
      <c r="T34" s="18"/>
      <c r="U34" s="18"/>
      <c r="V34" s="18"/>
      <c r="W34" s="18"/>
      <c r="X34" s="57"/>
      <c r="Z34" s="18"/>
      <c r="AA34" s="18"/>
      <c r="AB34" s="18"/>
      <c r="AC34" s="18"/>
      <c r="AD34" s="18"/>
      <c r="AE34" s="18"/>
      <c r="AF34" s="18"/>
      <c r="AG34" s="57"/>
      <c r="AI34" s="18"/>
      <c r="AJ34" s="18"/>
      <c r="AK34" s="18"/>
      <c r="AL34" s="18"/>
      <c r="AM34" s="18"/>
      <c r="AN34" s="18"/>
      <c r="AO34" s="18"/>
      <c r="AP34" s="57"/>
      <c r="AR34" s="18"/>
      <c r="AS34" s="18"/>
      <c r="AT34" s="18"/>
      <c r="AU34" s="18"/>
      <c r="AV34" s="18"/>
      <c r="AW34" s="18"/>
      <c r="AX34" s="18"/>
      <c r="AY34" s="57"/>
      <c r="BA34" s="19"/>
      <c r="BB34" s="19"/>
      <c r="BC34" s="19"/>
      <c r="BD34" s="19"/>
      <c r="BE34" s="19"/>
      <c r="BF34" s="19"/>
      <c r="BG34" s="19"/>
      <c r="BH34" s="58"/>
      <c r="BJ34" s="18"/>
      <c r="BK34" s="18"/>
      <c r="BL34" s="18"/>
      <c r="BM34" s="18"/>
      <c r="BN34" s="18"/>
      <c r="BO34" s="18"/>
      <c r="BP34" s="18"/>
      <c r="BQ34" s="57">
        <f t="shared" si="9"/>
        <v>0</v>
      </c>
      <c r="BS34" s="247">
        <f>'Base de Datos'!BM116/('Base de Datos'!BM3+'Base de Datos'!BM21)</f>
        <v>140.97985347985349</v>
      </c>
      <c r="BT34" s="247">
        <f>'Base de Datos'!BN116/('Base de Datos'!BN3+'Base de Datos'!BN21)</f>
        <v>44.280243902439025</v>
      </c>
      <c r="BU34" s="247">
        <f>'Base de Datos'!BO116/('Base de Datos'!BO3+'Base de Datos'!BO21)</f>
        <v>54.463702623906713</v>
      </c>
      <c r="BV34" s="247">
        <f>'Base de Datos'!BP116/('Base de Datos'!BP3+'Base de Datos'!BP21)</f>
        <v>57.299124343257439</v>
      </c>
      <c r="BW34" s="247">
        <f>'Base de Datos'!BQ116/('Base de Datos'!BQ3+'Base de Datos'!BQ21)</f>
        <v>77.852732240437149</v>
      </c>
      <c r="BX34" s="247">
        <f>'Base de Datos'!BR116/('Base de Datos'!BR3+'Base de Datos'!BR21)</f>
        <v>120.11940298507461</v>
      </c>
      <c r="BY34" s="247" t="e">
        <f>'Base de Datos'!BS116/('Base de Datos'!BS3+'Base de Datos'!BS21)</f>
        <v>#DIV/0!</v>
      </c>
      <c r="BZ34" s="57" t="e">
        <f t="shared" si="10"/>
        <v>#DIV/0!</v>
      </c>
      <c r="CB34" s="247">
        <f>'Base de Datos'!BV116/('Base de Datos'!BV3+'Base de Datos'!BV21)</f>
        <v>48.685359116022099</v>
      </c>
      <c r="CC34" s="247">
        <f>'Base de Datos'!BW116/('Base de Datos'!BW3+'Base de Datos'!BW21)</f>
        <v>0</v>
      </c>
      <c r="CD34" s="247">
        <f>'Base de Datos'!BX116/('Base de Datos'!BX3+'Base de Datos'!BX21)</f>
        <v>24.906600249066003</v>
      </c>
      <c r="CE34" s="247">
        <f>'Base de Datos'!BY116/('Base de Datos'!BY3+'Base de Datos'!BY21)</f>
        <v>63.026315789473685</v>
      </c>
      <c r="CF34" s="247">
        <f>'Base de Datos'!BZ116/('Base de Datos'!BZ3+'Base de Datos'!BZ21)</f>
        <v>102.26212121212123</v>
      </c>
      <c r="CG34" s="247">
        <f>'Base de Datos'!CA116/('Base de Datos'!CA3+'Base de Datos'!CA21)</f>
        <v>185.03417721518986</v>
      </c>
      <c r="CH34" s="247">
        <f>'Base de Datos'!CB116/('Base de Datos'!CB3+'Base de Datos'!CB21)</f>
        <v>27.314285714285713</v>
      </c>
      <c r="CI34" s="57">
        <f t="shared" si="11"/>
        <v>451.22885929615859</v>
      </c>
      <c r="CK34" s="247">
        <f>'Base de Datos'!CE116/('Base de Datos'!CE3+'Base de Datos'!CE21)</f>
        <v>0</v>
      </c>
      <c r="CL34" s="247">
        <f>'Base de Datos'!CF116/('Base de Datos'!CF3+'Base de Datos'!CF21)</f>
        <v>43.571009389671367</v>
      </c>
      <c r="CM34" s="247">
        <f>'Base de Datos'!CG116/('Base de Datos'!CG3+'Base de Datos'!CG21)</f>
        <v>50.077435897435898</v>
      </c>
      <c r="CN34" s="247">
        <f>'Base de Datos'!CH116/('Base de Datos'!CH3+'Base de Datos'!CH21)</f>
        <v>60.831911262798641</v>
      </c>
      <c r="CO34" s="247">
        <f>'Base de Datos'!CI116/('Base de Datos'!CI3+'Base de Datos'!CI21)</f>
        <v>0</v>
      </c>
      <c r="CP34" s="247">
        <f>'Base de Datos'!CJ116/('Base de Datos'!CJ3+'Base de Datos'!CJ21)</f>
        <v>0</v>
      </c>
      <c r="CQ34" s="247">
        <f>'Base de Datos'!CK116/('Base de Datos'!CK3+'Base de Datos'!CK21)</f>
        <v>0</v>
      </c>
      <c r="CR34" s="57">
        <f t="shared" si="12"/>
        <v>154.48035654990591</v>
      </c>
    </row>
    <row r="35" spans="1:96" ht="15" customHeight="1" thickBot="1" x14ac:dyDescent="0.35">
      <c r="A35" s="923"/>
      <c r="B35" s="932"/>
      <c r="C35" s="70" t="s">
        <v>51</v>
      </c>
      <c r="D35" s="71"/>
      <c r="E35" s="72">
        <v>180</v>
      </c>
      <c r="F35" s="73" t="s">
        <v>37</v>
      </c>
      <c r="H35" s="74"/>
      <c r="I35" s="74"/>
      <c r="J35" s="74"/>
      <c r="K35" s="74"/>
      <c r="L35" s="74"/>
      <c r="M35" s="74"/>
      <c r="N35" s="74"/>
      <c r="O35" s="75"/>
      <c r="Q35" s="74"/>
      <c r="R35" s="74"/>
      <c r="S35" s="74"/>
      <c r="T35" s="74"/>
      <c r="U35" s="74"/>
      <c r="V35" s="74"/>
      <c r="W35" s="74"/>
      <c r="X35" s="75"/>
      <c r="Z35" s="74"/>
      <c r="AA35" s="74"/>
      <c r="AB35" s="74"/>
      <c r="AC35" s="74"/>
      <c r="AD35" s="74"/>
      <c r="AE35" s="74"/>
      <c r="AF35" s="74"/>
      <c r="AG35" s="75"/>
      <c r="AI35" s="74"/>
      <c r="AJ35" s="74"/>
      <c r="AK35" s="74"/>
      <c r="AL35" s="74"/>
      <c r="AM35" s="74"/>
      <c r="AN35" s="74"/>
      <c r="AO35" s="74"/>
      <c r="AP35" s="75"/>
      <c r="AR35" s="74"/>
      <c r="AS35" s="74"/>
      <c r="AT35" s="74"/>
      <c r="AU35" s="74"/>
      <c r="AV35" s="74"/>
      <c r="AW35" s="74"/>
      <c r="AX35" s="74"/>
      <c r="AY35" s="75"/>
      <c r="BA35" s="19"/>
      <c r="BB35" s="19"/>
      <c r="BC35" s="19"/>
      <c r="BD35" s="19"/>
      <c r="BE35" s="19"/>
      <c r="BF35" s="19"/>
      <c r="BG35" s="19"/>
      <c r="BH35" s="58"/>
      <c r="BJ35" s="74"/>
      <c r="BK35" s="74"/>
      <c r="BL35" s="74"/>
      <c r="BM35" s="74"/>
      <c r="BN35" s="74"/>
      <c r="BO35" s="74"/>
      <c r="BP35" s="74"/>
      <c r="BQ35" s="75">
        <f t="shared" si="9"/>
        <v>0</v>
      </c>
      <c r="BS35" s="248">
        <f>'Base de Datos'!BM117/('Base de Datos'!BM3+'Base de Datos'!BM21)</f>
        <v>419.93882783882782</v>
      </c>
      <c r="BT35" s="248">
        <f>'Base de Datos'!BN117/('Base de Datos'!BN3+'Base de Datos'!BN21)</f>
        <v>149.04597560975611</v>
      </c>
      <c r="BU35" s="248">
        <f>'Base de Datos'!BO117/('Base de Datos'!BO3+'Base de Datos'!BO21)</f>
        <v>173.74183673469389</v>
      </c>
      <c r="BV35" s="248">
        <f>'Base de Datos'!BP117/('Base de Datos'!BP3+'Base de Datos'!BP21)</f>
        <v>187.81243432574431</v>
      </c>
      <c r="BW35" s="248">
        <f>'Base de Datos'!BQ117/('Base de Datos'!BQ3+'Base de Datos'!BQ21)</f>
        <v>211.97377049180326</v>
      </c>
      <c r="BX35" s="248">
        <f>'Base de Datos'!BR117/('Base de Datos'!BR3+'Base de Datos'!BR21)</f>
        <v>234.04179104477609</v>
      </c>
      <c r="BY35" s="248" t="e">
        <f>'Base de Datos'!BS117/('Base de Datos'!BS3+'Base de Datos'!BS21)</f>
        <v>#DIV/0!</v>
      </c>
      <c r="BZ35" s="77" t="e">
        <f t="shared" si="10"/>
        <v>#DIV/0!</v>
      </c>
      <c r="CB35" s="248">
        <f>'Base de Datos'!BV117/('Base de Datos'!BV3+'Base de Datos'!BV21)</f>
        <v>228.47817679558014</v>
      </c>
      <c r="CC35" s="248">
        <f>'Base de Datos'!BW117/('Base de Datos'!BW3+'Base de Datos'!BW21)</f>
        <v>67.987155963302754</v>
      </c>
      <c r="CD35" s="248">
        <f>'Base de Datos'!BX117/('Base de Datos'!BX3+'Base de Datos'!BX21)</f>
        <v>266.35230386052302</v>
      </c>
      <c r="CE35" s="248">
        <f>'Base de Datos'!BY117/('Base de Datos'!BY3+'Base de Datos'!BY21)</f>
        <v>163.24770797962651</v>
      </c>
      <c r="CF35" s="248">
        <f>'Base de Datos'!BZ117/('Base de Datos'!BZ3+'Base de Datos'!BZ21)</f>
        <v>235.46628787878791</v>
      </c>
      <c r="CG35" s="248">
        <f>'Base de Datos'!CA117/('Base de Datos'!CA3+'Base de Datos'!CA21)</f>
        <v>185.69240506329112</v>
      </c>
      <c r="CH35" s="248">
        <f>'Base de Datos'!CB117/('Base de Datos'!CB3+'Base de Datos'!CB21)</f>
        <v>66.820779220779215</v>
      </c>
      <c r="CI35" s="77">
        <f t="shared" si="11"/>
        <v>1214.0448167618906</v>
      </c>
      <c r="CK35" s="248">
        <f>'Base de Datos'!CE117/('Base de Datos'!CE3+'Base de Datos'!CE21)</f>
        <v>92.423770491803282</v>
      </c>
      <c r="CL35" s="248">
        <f>'Base de Datos'!CF117/('Base de Datos'!CF3+'Base de Datos'!CF21)</f>
        <v>112.85551643192491</v>
      </c>
      <c r="CM35" s="248">
        <f>'Base de Datos'!CG117/('Base de Datos'!CG3+'Base de Datos'!CG21)</f>
        <v>160.66615384615383</v>
      </c>
      <c r="CN35" s="248">
        <f>'Base de Datos'!CH117/('Base de Datos'!CH3+'Base de Datos'!CH21)</f>
        <v>176.92098976109216</v>
      </c>
      <c r="CO35" s="248">
        <f>'Base de Datos'!CI117/('Base de Datos'!CI3+'Base de Datos'!CI21)</f>
        <v>0</v>
      </c>
      <c r="CP35" s="248">
        <f>'Base de Datos'!CJ117/('Base de Datos'!CJ3+'Base de Datos'!CJ21)</f>
        <v>0</v>
      </c>
      <c r="CQ35" s="248">
        <f>'Base de Datos'!CK117/('Base de Datos'!CK3+'Base de Datos'!CK21)</f>
        <v>0</v>
      </c>
      <c r="CR35" s="77">
        <f t="shared" si="12"/>
        <v>542.86643053097418</v>
      </c>
    </row>
    <row r="36" spans="1:96" ht="15" customHeight="1" thickBot="1" x14ac:dyDescent="0.35">
      <c r="A36" s="78"/>
      <c r="B36" s="79"/>
      <c r="C36" s="80"/>
      <c r="E36" s="81"/>
      <c r="F36" s="82"/>
      <c r="H36" s="29"/>
      <c r="I36" s="29"/>
      <c r="J36" s="29"/>
      <c r="K36" s="29"/>
      <c r="L36" s="29"/>
      <c r="M36" s="29"/>
      <c r="N36" s="29"/>
      <c r="O36" s="30"/>
      <c r="Q36" s="29"/>
      <c r="R36" s="29"/>
      <c r="S36" s="29"/>
      <c r="T36" s="29"/>
      <c r="U36" s="29"/>
      <c r="V36" s="29"/>
      <c r="W36" s="29"/>
      <c r="X36" s="30"/>
      <c r="Z36" s="29"/>
      <c r="AA36" s="29"/>
      <c r="AB36" s="29"/>
      <c r="AC36" s="29"/>
      <c r="AD36" s="29"/>
      <c r="AE36" s="29"/>
      <c r="AF36" s="29"/>
      <c r="AG36" s="30"/>
      <c r="AI36" s="29"/>
      <c r="AJ36" s="29"/>
      <c r="AK36" s="29"/>
      <c r="AL36" s="29"/>
      <c r="AM36" s="29"/>
      <c r="AN36" s="29"/>
      <c r="AO36" s="29"/>
      <c r="AP36" s="30"/>
      <c r="AR36" s="29"/>
      <c r="AS36" s="29"/>
      <c r="AT36" s="29"/>
      <c r="AU36" s="29"/>
      <c r="AV36" s="29"/>
      <c r="AW36" s="29"/>
      <c r="AX36" s="29"/>
      <c r="AY36" s="30"/>
      <c r="BA36" s="29"/>
      <c r="BB36" s="29"/>
      <c r="BC36" s="29"/>
      <c r="BD36" s="29"/>
      <c r="BE36" s="29"/>
      <c r="BF36" s="29"/>
      <c r="BG36" s="29"/>
      <c r="BH36" s="30"/>
      <c r="BJ36" s="29"/>
      <c r="BK36" s="29"/>
      <c r="BL36" s="29"/>
      <c r="BM36" s="29"/>
      <c r="BN36" s="29"/>
      <c r="BO36" s="29"/>
      <c r="BP36" s="29"/>
      <c r="BQ36" s="30"/>
      <c r="BS36" s="83"/>
      <c r="BT36" s="29"/>
      <c r="BU36" s="29"/>
      <c r="BV36" s="29"/>
      <c r="BW36" s="29"/>
      <c r="BX36" s="29"/>
      <c r="BY36" s="29"/>
      <c r="BZ36" s="30"/>
      <c r="CB36" s="83"/>
      <c r="CC36" s="29"/>
      <c r="CD36" s="29"/>
      <c r="CE36" s="29"/>
      <c r="CF36" s="29"/>
      <c r="CG36" s="29"/>
      <c r="CH36" s="29"/>
      <c r="CI36" s="30"/>
      <c r="CK36" s="83"/>
      <c r="CL36" s="29"/>
      <c r="CM36" s="29"/>
      <c r="CN36" s="29"/>
      <c r="CO36" s="29"/>
      <c r="CP36" s="29"/>
      <c r="CQ36" s="29"/>
      <c r="CR36" s="30"/>
    </row>
    <row r="37" spans="1:96" s="31" customFormat="1" ht="15" customHeight="1" outlineLevel="1" thickBot="1" x14ac:dyDescent="0.3">
      <c r="B37" s="933" t="s">
        <v>52</v>
      </c>
      <c r="C37" s="934"/>
      <c r="D37" s="934"/>
      <c r="E37" s="934"/>
      <c r="F37" s="935"/>
      <c r="H37" s="942"/>
      <c r="I37" s="943"/>
      <c r="J37" s="943"/>
      <c r="K37" s="943"/>
      <c r="L37" s="943"/>
      <c r="M37" s="943"/>
      <c r="N37" s="943"/>
      <c r="O37" s="944"/>
      <c r="Q37" s="942"/>
      <c r="R37" s="943"/>
      <c r="S37" s="943"/>
      <c r="T37" s="943"/>
      <c r="U37" s="943"/>
      <c r="V37" s="943"/>
      <c r="W37" s="943"/>
      <c r="X37" s="944"/>
      <c r="Z37" s="942"/>
      <c r="AA37" s="943"/>
      <c r="AB37" s="943"/>
      <c r="AC37" s="943"/>
      <c r="AD37" s="943"/>
      <c r="AE37" s="943"/>
      <c r="AF37" s="943"/>
      <c r="AG37" s="944"/>
      <c r="AI37" s="887"/>
      <c r="AJ37" s="888"/>
      <c r="AK37" s="888"/>
      <c r="AL37" s="888"/>
      <c r="AM37" s="888"/>
      <c r="AN37" s="888"/>
      <c r="AO37" s="888"/>
      <c r="AP37" s="889"/>
      <c r="AR37" s="887"/>
      <c r="AS37" s="888"/>
      <c r="AT37" s="888"/>
      <c r="AU37" s="888"/>
      <c r="AV37" s="888"/>
      <c r="AW37" s="888"/>
      <c r="AX37" s="888"/>
      <c r="AY37" s="889"/>
      <c r="BA37" s="887"/>
      <c r="BB37" s="888"/>
      <c r="BC37" s="888"/>
      <c r="BD37" s="888"/>
      <c r="BE37" s="888"/>
      <c r="BF37" s="888"/>
      <c r="BG37" s="888"/>
      <c r="BH37" s="889"/>
      <c r="BJ37" s="887"/>
      <c r="BK37" s="888"/>
      <c r="BL37" s="888"/>
      <c r="BM37" s="888"/>
      <c r="BN37" s="888"/>
      <c r="BO37" s="888"/>
      <c r="BP37" s="888"/>
      <c r="BQ37" s="889"/>
      <c r="BS37" s="887"/>
      <c r="BT37" s="888"/>
      <c r="BU37" s="888"/>
      <c r="BV37" s="888"/>
      <c r="BW37" s="888"/>
      <c r="BX37" s="888"/>
      <c r="BY37" s="888"/>
      <c r="BZ37" s="889"/>
      <c r="CB37" s="887"/>
      <c r="CC37" s="888"/>
      <c r="CD37" s="888"/>
      <c r="CE37" s="888"/>
      <c r="CF37" s="888"/>
      <c r="CG37" s="888"/>
      <c r="CH37" s="888"/>
      <c r="CI37" s="889"/>
      <c r="CK37" s="887"/>
      <c r="CL37" s="888"/>
      <c r="CM37" s="888"/>
      <c r="CN37" s="888"/>
      <c r="CO37" s="888"/>
      <c r="CP37" s="888"/>
      <c r="CQ37" s="888"/>
      <c r="CR37" s="889"/>
    </row>
    <row r="38" spans="1:96" ht="15" customHeight="1" outlineLevel="1" x14ac:dyDescent="0.3">
      <c r="B38" s="84" t="s">
        <v>18</v>
      </c>
      <c r="C38" s="85" t="s">
        <v>53</v>
      </c>
      <c r="D38" s="85" t="s">
        <v>54</v>
      </c>
      <c r="E38" s="86"/>
      <c r="F38" s="87" t="s">
        <v>37</v>
      </c>
      <c r="H38" s="18">
        <v>221.07485830078409</v>
      </c>
      <c r="I38" s="18">
        <v>255.7712759913646</v>
      </c>
      <c r="J38" s="18">
        <v>309.58898071625345</v>
      </c>
      <c r="K38" s="18">
        <v>327.33018292682931</v>
      </c>
      <c r="L38" s="18">
        <v>453.88200339558568</v>
      </c>
      <c r="M38" s="18" t="e">
        <v>#DIV/0!</v>
      </c>
      <c r="N38" s="18" t="e">
        <v>#DIV/0!</v>
      </c>
      <c r="O38" s="57" t="e">
        <f t="shared" ref="O38:O40" si="13">AVERAGE(H38:N38)</f>
        <v>#DIV/0!</v>
      </c>
      <c r="Q38" s="18">
        <v>234.40609480812643</v>
      </c>
      <c r="R38" s="18">
        <v>290.69302465423937</v>
      </c>
      <c r="S38" s="18">
        <v>337.62814145974414</v>
      </c>
      <c r="T38" s="18">
        <v>385.78227848101267</v>
      </c>
      <c r="U38" s="18" t="e">
        <v>#DIV/0!</v>
      </c>
      <c r="V38" s="18" t="e">
        <v>#DIV/0!</v>
      </c>
      <c r="W38" s="18" t="e">
        <v>#DIV/0!</v>
      </c>
      <c r="X38" s="57" t="e">
        <f t="shared" ref="X38:X40" si="14">AVERAGE(Q38:W38)</f>
        <v>#DIV/0!</v>
      </c>
      <c r="Z38" s="18">
        <v>395.74572025052197</v>
      </c>
      <c r="AA38" s="18">
        <v>296.14340101522839</v>
      </c>
      <c r="AB38" s="18">
        <v>329.35785813630042</v>
      </c>
      <c r="AC38" s="18">
        <v>384.93054781801294</v>
      </c>
      <c r="AD38" s="18">
        <v>198.25897843457344</v>
      </c>
      <c r="AE38" s="18">
        <v>4946.028571428571</v>
      </c>
      <c r="AF38" s="18" t="e">
        <v>#DIV/0!</v>
      </c>
      <c r="AG38" s="57" t="e">
        <f t="shared" ref="AG38:AG40" si="15">AVERAGE(Z38:AF38)</f>
        <v>#DIV/0!</v>
      </c>
      <c r="AI38" s="88">
        <v>360.26491228070176</v>
      </c>
      <c r="AJ38" s="88">
        <v>240.63629369092106</v>
      </c>
      <c r="AK38" s="88">
        <v>242.47020206723155</v>
      </c>
      <c r="AL38" s="88">
        <v>323.57664783427492</v>
      </c>
      <c r="AM38" s="88" t="e">
        <v>#DIV/0!</v>
      </c>
      <c r="AN38" s="88" t="e">
        <v>#DIV/0!</v>
      </c>
      <c r="AO38" s="88" t="e">
        <v>#DIV/0!</v>
      </c>
      <c r="AP38" s="57" t="e">
        <f t="shared" ref="AP38:AP40" si="16">AVERAGE(AI38:AO38)</f>
        <v>#DIV/0!</v>
      </c>
      <c r="AR38" s="88"/>
      <c r="AS38" s="88">
        <v>213.09064885496184</v>
      </c>
      <c r="AT38" s="88">
        <v>282.30574712643681</v>
      </c>
      <c r="AU38" s="88">
        <v>288.98096514745311</v>
      </c>
      <c r="AV38" s="88">
        <v>234.8438897835033</v>
      </c>
      <c r="AW38" s="88"/>
      <c r="AX38" s="88"/>
      <c r="AY38" s="57">
        <f t="shared" ref="AY38:AY40" si="17">AVERAGE(AR38:AX38)</f>
        <v>254.80531272808878</v>
      </c>
      <c r="BA38" s="88">
        <v>141.48258013139559</v>
      </c>
      <c r="BB38" s="88">
        <v>380.95814158094208</v>
      </c>
      <c r="BC38" s="88">
        <v>220.1838181818182</v>
      </c>
      <c r="BD38" s="88">
        <v>420.75950920245401</v>
      </c>
      <c r="BE38" s="88"/>
      <c r="BF38" s="88"/>
      <c r="BG38" s="88"/>
      <c r="BH38" s="57">
        <f t="shared" ref="BH38:BH40" si="18">AVERAGE(BA38:BG38)</f>
        <v>290.84601227415249</v>
      </c>
      <c r="BJ38" s="88">
        <v>235.94492610837437</v>
      </c>
      <c r="BK38" s="88">
        <v>263.88071209887744</v>
      </c>
      <c r="BL38" s="88" t="e">
        <v>#DIV/0!</v>
      </c>
      <c r="BM38" s="88">
        <v>352.90425531914894</v>
      </c>
      <c r="BN38" s="88" t="e">
        <v>#DIV/0!</v>
      </c>
      <c r="BO38" s="88" t="e">
        <v>#DIV/0!</v>
      </c>
      <c r="BP38" s="88" t="e">
        <v>#DIV/0!</v>
      </c>
      <c r="BQ38" s="57" t="e">
        <f t="shared" ref="BQ38:BQ40" si="19">AVERAGE(BJ38:BP38)</f>
        <v>#DIV/0!</v>
      </c>
      <c r="BS38" s="88">
        <f>'Base de Datos'!BM50</f>
        <v>210.67884615384617</v>
      </c>
      <c r="BT38" s="88">
        <f>'Base de Datos'!BN50</f>
        <v>317.04706959706959</v>
      </c>
      <c r="BU38" s="88">
        <f>'Base de Datos'!BO50</f>
        <v>253.58748280605226</v>
      </c>
      <c r="BV38" s="88">
        <f>'Base de Datos'!BP50</f>
        <v>391.88411633109621</v>
      </c>
      <c r="BW38" s="88" t="e">
        <f>'Base de Datos'!BQ50</f>
        <v>#DIV/0!</v>
      </c>
      <c r="BX38" s="88" t="e">
        <f>'Base de Datos'!BR50</f>
        <v>#DIV/0!</v>
      </c>
      <c r="BY38" s="88" t="e">
        <f>'Base de Datos'!BS50</f>
        <v>#DIV/0!</v>
      </c>
      <c r="BZ38" s="57" t="e">
        <f t="shared" ref="BZ38:BZ40" si="20">AVERAGE(BS38:BY38)</f>
        <v>#DIV/0!</v>
      </c>
      <c r="CB38" s="88">
        <f>'Base de Datos'!BV50</f>
        <v>246.22645161290325</v>
      </c>
      <c r="CC38" s="88">
        <f>'Base de Datos'!BW50</f>
        <v>231.16465346534653</v>
      </c>
      <c r="CD38" s="88">
        <f>'Base de Datos'!BX50</f>
        <v>494.24301075268812</v>
      </c>
      <c r="CE38" s="88">
        <f>'Base de Datos'!BY50</f>
        <v>194.00821917808219</v>
      </c>
      <c r="CF38" s="88">
        <f>'Base de Datos'!BZ50</f>
        <v>2201.5646153846155</v>
      </c>
      <c r="CG38" s="88" t="e">
        <f>'Base de Datos'!CA50</f>
        <v>#DIV/0!</v>
      </c>
      <c r="CH38" s="88" t="e">
        <f>'Base de Datos'!CB50</f>
        <v>#DIV/0!</v>
      </c>
      <c r="CI38" s="57" t="e">
        <f t="shared" ref="CI38:CI40" si="21">AVERAGE(CB38:CH38)</f>
        <v>#DIV/0!</v>
      </c>
      <c r="CK38" s="88">
        <f>'Base de Datos'!CE50</f>
        <v>0</v>
      </c>
      <c r="CL38" s="88">
        <f>'Base de Datos'!CF50</f>
        <v>302.4234011627907</v>
      </c>
      <c r="CM38" s="88">
        <f>'Base de Datos'!CG50</f>
        <v>232.08763940520447</v>
      </c>
      <c r="CN38" s="88">
        <f>'Base de Datos'!CH50</f>
        <v>331.83664596273286</v>
      </c>
      <c r="CO38" s="88" t="e">
        <f>'Base de Datos'!CI50</f>
        <v>#DIV/0!</v>
      </c>
      <c r="CP38" s="88" t="e">
        <f>'Base de Datos'!CJ50</f>
        <v>#DIV/0!</v>
      </c>
      <c r="CQ38" s="88" t="e">
        <f>'Base de Datos'!CK50</f>
        <v>#DIV/0!</v>
      </c>
      <c r="CR38" s="57" t="e">
        <f t="shared" ref="CR38:CR40" si="22">AVERAGE(CK38:CQ38)</f>
        <v>#DIV/0!</v>
      </c>
    </row>
    <row r="39" spans="1:96" ht="15" customHeight="1" outlineLevel="1" x14ac:dyDescent="0.3">
      <c r="B39" s="84" t="s">
        <v>21</v>
      </c>
      <c r="C39" s="85" t="s">
        <v>53</v>
      </c>
      <c r="D39" s="85" t="s">
        <v>55</v>
      </c>
      <c r="E39" s="89">
        <v>642</v>
      </c>
      <c r="F39" s="87" t="s">
        <v>37</v>
      </c>
      <c r="H39" s="18">
        <v>522.54999999999995</v>
      </c>
      <c r="I39" s="18">
        <v>179.62671957671961</v>
      </c>
      <c r="J39" s="18">
        <v>221.17383512544805</v>
      </c>
      <c r="K39" s="18">
        <v>410.08035714285711</v>
      </c>
      <c r="L39" s="18">
        <v>959.06538461538469</v>
      </c>
      <c r="M39" s="18" t="e">
        <v>#DIV/0!</v>
      </c>
      <c r="N39" s="18" t="e">
        <v>#DIV/0!</v>
      </c>
      <c r="O39" s="57" t="e">
        <f t="shared" si="13"/>
        <v>#DIV/0!</v>
      </c>
      <c r="Q39" s="18">
        <v>1148.5315789473684</v>
      </c>
      <c r="R39" s="18">
        <v>180.98723404255318</v>
      </c>
      <c r="S39" s="18">
        <v>169.00048543689317</v>
      </c>
      <c r="T39" s="18">
        <v>213.38536585365853</v>
      </c>
      <c r="U39" s="18">
        <v>0</v>
      </c>
      <c r="V39" s="18" t="e">
        <v>#DIV/0!</v>
      </c>
      <c r="W39" s="18" t="e">
        <v>#DIV/0!</v>
      </c>
      <c r="X39" s="57" t="e">
        <f t="shared" si="14"/>
        <v>#DIV/0!</v>
      </c>
      <c r="Z39" s="18">
        <v>0</v>
      </c>
      <c r="AA39" s="18">
        <v>5493.0143678160921</v>
      </c>
      <c r="AB39" s="18">
        <v>6297.9351351351352</v>
      </c>
      <c r="AC39" s="18">
        <v>7417.7654411764706</v>
      </c>
      <c r="AD39" s="18">
        <v>28811.045454545452</v>
      </c>
      <c r="AE39" s="18" t="e">
        <v>#DIV/0!</v>
      </c>
      <c r="AF39" s="18" t="e">
        <v>#DIV/0!</v>
      </c>
      <c r="AG39" s="57" t="e">
        <f t="shared" si="15"/>
        <v>#DIV/0!</v>
      </c>
      <c r="AI39" s="18">
        <v>5408.4323432343235</v>
      </c>
      <c r="AJ39" s="18">
        <v>4559.770932754881</v>
      </c>
      <c r="AK39" s="18">
        <v>4372.5727078891259</v>
      </c>
      <c r="AL39" s="18">
        <v>6995.0056000000004</v>
      </c>
      <c r="AM39" s="18">
        <v>23532.540909090905</v>
      </c>
      <c r="AN39" s="18" t="e">
        <v>#DIV/0!</v>
      </c>
      <c r="AO39" s="18" t="e">
        <v>#DIV/0!</v>
      </c>
      <c r="AP39" s="57" t="e">
        <f t="shared" si="16"/>
        <v>#DIV/0!</v>
      </c>
      <c r="AR39" s="18"/>
      <c r="AS39" s="18">
        <v>4845.8696883852699</v>
      </c>
      <c r="AT39" s="18">
        <v>4858.3499999999995</v>
      </c>
      <c r="AU39" s="18">
        <v>6211.2110169491516</v>
      </c>
      <c r="AV39" s="18">
        <v>16109.066666666668</v>
      </c>
      <c r="AW39" s="18">
        <v>35580.14166666667</v>
      </c>
      <c r="AX39" s="18"/>
      <c r="AY39" s="57">
        <f t="shared" si="17"/>
        <v>13520.927807733551</v>
      </c>
      <c r="BA39" s="18">
        <v>1282.1960784313726</v>
      </c>
      <c r="BB39" s="18">
        <v>95.89478021978023</v>
      </c>
      <c r="BC39" s="18">
        <v>140.37433333333331</v>
      </c>
      <c r="BD39" s="18">
        <v>689.81788617886173</v>
      </c>
      <c r="BE39" s="18">
        <v>1675.346739130435</v>
      </c>
      <c r="BF39" s="18"/>
      <c r="BG39" s="18"/>
      <c r="BH39" s="57">
        <f t="shared" si="18"/>
        <v>776.7259634587565</v>
      </c>
      <c r="BJ39" s="18">
        <v>515.83709677419358</v>
      </c>
      <c r="BK39" s="18">
        <v>372.5640271493213</v>
      </c>
      <c r="BL39" s="18">
        <v>359.41921397379917</v>
      </c>
      <c r="BM39" s="18">
        <v>681.13015267175581</v>
      </c>
      <c r="BN39" s="18">
        <v>23217.919999999998</v>
      </c>
      <c r="BO39" s="18" t="e">
        <v>#DIV/0!</v>
      </c>
      <c r="BP39" s="18" t="e">
        <v>#DIV/0!</v>
      </c>
      <c r="BQ39" s="57" t="e">
        <f t="shared" si="19"/>
        <v>#DIV/0!</v>
      </c>
      <c r="BS39" s="18">
        <f>'Base de Datos'!BM10</f>
        <v>920.18516949152536</v>
      </c>
      <c r="BT39" s="18">
        <f>'Base de Datos'!BN10</f>
        <v>540.68567839195987</v>
      </c>
      <c r="BU39" s="18">
        <f>'Base de Datos'!BO10</f>
        <v>530.37602523659302</v>
      </c>
      <c r="BV39" s="18">
        <f>'Base de Datos'!BP10</f>
        <v>875.27304687499998</v>
      </c>
      <c r="BW39" s="18">
        <f>'Base de Datos'!BQ10</f>
        <v>1247.5083870967742</v>
      </c>
      <c r="BX39" s="18">
        <f>'Base de Datos'!BR10</f>
        <v>3515.8214285714284</v>
      </c>
      <c r="BY39" s="18" t="e">
        <f>'Base de Datos'!BS10</f>
        <v>#DIV/0!</v>
      </c>
      <c r="BZ39" s="57" t="e">
        <f t="shared" si="20"/>
        <v>#DIV/0!</v>
      </c>
      <c r="CB39" s="18">
        <f>'Base de Datos'!BV10</f>
        <v>564.26064139941695</v>
      </c>
      <c r="CC39" s="18">
        <f>'Base de Datos'!BW10</f>
        <v>460.59101382488484</v>
      </c>
      <c r="CD39" s="18">
        <f>'Base de Datos'!BX10</f>
        <v>428.935</v>
      </c>
      <c r="CE39" s="18">
        <f>'Base de Datos'!BY10</f>
        <v>886.18973509933778</v>
      </c>
      <c r="CF39" s="18">
        <f>'Base de Datos'!BZ10</f>
        <v>1601.6433333333334</v>
      </c>
      <c r="CG39" s="18">
        <f>'Base de Datos'!CA10</f>
        <v>1265.1443037974682</v>
      </c>
      <c r="CH39" s="18">
        <f>'Base de Datos'!CB10</f>
        <v>615.22597402597398</v>
      </c>
      <c r="CI39" s="57">
        <f t="shared" si="21"/>
        <v>831.71285735434503</v>
      </c>
      <c r="CK39" s="18">
        <f>'Base de Datos'!CE10</f>
        <v>467.09798657718119</v>
      </c>
      <c r="CL39" s="18">
        <f>'Base de Datos'!CF10</f>
        <v>519.78961352657007</v>
      </c>
      <c r="CM39" s="18">
        <f>'Base de Datos'!CG10</f>
        <v>938.46277915632766</v>
      </c>
      <c r="CN39" s="18">
        <f>'Base de Datos'!CH10</f>
        <v>920.05866336633676</v>
      </c>
      <c r="CO39" s="18">
        <f>'Base de Datos'!CI10</f>
        <v>1532.9353233830846</v>
      </c>
      <c r="CP39" s="18">
        <f>'Base de Datos'!CJ10</f>
        <v>1004.3529411764706</v>
      </c>
      <c r="CQ39" s="18">
        <f>'Base de Datos'!CK10</f>
        <v>992.31788079470198</v>
      </c>
      <c r="CR39" s="57">
        <f t="shared" si="22"/>
        <v>910.71645542581041</v>
      </c>
    </row>
    <row r="40" spans="1:96" ht="15" customHeight="1" outlineLevel="1" thickBot="1" x14ac:dyDescent="0.35">
      <c r="B40" s="90" t="s">
        <v>23</v>
      </c>
      <c r="C40" s="91" t="s">
        <v>53</v>
      </c>
      <c r="D40" s="91" t="s">
        <v>56</v>
      </c>
      <c r="E40" s="92"/>
      <c r="F40" s="87" t="s">
        <v>37</v>
      </c>
      <c r="H40" s="23">
        <v>0</v>
      </c>
      <c r="I40" s="23">
        <v>237.60150470219438</v>
      </c>
      <c r="J40" s="23">
        <v>45.975593220338979</v>
      </c>
      <c r="K40" s="23">
        <v>108.63358166189111</v>
      </c>
      <c r="L40" s="23">
        <v>108.39678832116789</v>
      </c>
      <c r="M40" s="23">
        <v>523.48333333333346</v>
      </c>
      <c r="N40" s="23" t="e">
        <v>#DIV/0!</v>
      </c>
      <c r="O40" s="77" t="e">
        <f t="shared" si="13"/>
        <v>#DIV/0!</v>
      </c>
      <c r="Q40" s="23">
        <v>97.236038338658147</v>
      </c>
      <c r="R40" s="23">
        <v>91.25511111111112</v>
      </c>
      <c r="S40" s="23">
        <v>98.591923990498813</v>
      </c>
      <c r="T40" s="23">
        <v>96.85481481481483</v>
      </c>
      <c r="U40" s="23">
        <v>0</v>
      </c>
      <c r="V40" s="23">
        <v>0</v>
      </c>
      <c r="W40" s="23" t="e">
        <v>#DIV/0!</v>
      </c>
      <c r="X40" s="77" t="e">
        <f t="shared" si="14"/>
        <v>#DIV/0!</v>
      </c>
      <c r="Z40" s="23">
        <v>0</v>
      </c>
      <c r="AA40" s="23">
        <v>3521.4932126696831</v>
      </c>
      <c r="AB40" s="23">
        <v>3250.054347826087</v>
      </c>
      <c r="AC40" s="23">
        <v>1961.1583011583014</v>
      </c>
      <c r="AD40" s="23">
        <v>1602.9319371727747</v>
      </c>
      <c r="AE40" s="23">
        <v>10331.764705882353</v>
      </c>
      <c r="AF40" s="23" t="e">
        <v>#DIV/0!</v>
      </c>
      <c r="AG40" s="77" t="e">
        <f t="shared" si="15"/>
        <v>#DIV/0!</v>
      </c>
      <c r="AI40" s="23">
        <v>2882.1621621621621</v>
      </c>
      <c r="AJ40" s="23">
        <v>1536.3049853372434</v>
      </c>
      <c r="AK40" s="23">
        <v>4035.7142857142858</v>
      </c>
      <c r="AL40" s="23">
        <v>1855.0862068965519</v>
      </c>
      <c r="AM40" s="23">
        <v>1716.9633507853403</v>
      </c>
      <c r="AN40" s="23">
        <v>9264.7058823529405</v>
      </c>
      <c r="AO40" s="23" t="e">
        <v>#DIV/0!</v>
      </c>
      <c r="AP40" s="77" t="e">
        <f t="shared" si="16"/>
        <v>#DIV/0!</v>
      </c>
      <c r="AR40" s="23"/>
      <c r="AS40" s="23">
        <v>1695.6470588235295</v>
      </c>
      <c r="AT40" s="23">
        <v>1470.6371191135734</v>
      </c>
      <c r="AU40" s="23">
        <v>0</v>
      </c>
      <c r="AV40" s="23">
        <v>5999.4482758620688</v>
      </c>
      <c r="AW40" s="23">
        <v>4977.6190476190477</v>
      </c>
      <c r="AX40" s="23"/>
      <c r="AY40" s="77">
        <f t="shared" si="17"/>
        <v>2828.6703002836439</v>
      </c>
      <c r="BA40" s="23">
        <v>212.61643835616437</v>
      </c>
      <c r="BB40" s="23">
        <v>1498.8203753351208</v>
      </c>
      <c r="BC40" s="23">
        <v>1710.5015673981193</v>
      </c>
      <c r="BD40" s="23">
        <v>1807.759336099585</v>
      </c>
      <c r="BE40" s="23"/>
      <c r="BF40" s="23"/>
      <c r="BG40" s="23"/>
      <c r="BH40" s="77">
        <f t="shared" si="18"/>
        <v>1307.4244292972473</v>
      </c>
      <c r="BJ40" s="23">
        <v>3605.9375</v>
      </c>
      <c r="BK40" s="23">
        <v>1425.1053864168616</v>
      </c>
      <c r="BL40" s="23">
        <v>1332.4008810572689</v>
      </c>
      <c r="BM40" s="23">
        <v>1624.8881789137379</v>
      </c>
      <c r="BN40" s="23">
        <v>2199.8795180722891</v>
      </c>
      <c r="BO40" s="23">
        <v>3218.75</v>
      </c>
      <c r="BP40" s="23" t="e">
        <v>#DIV/0!</v>
      </c>
      <c r="BQ40" s="77" t="e">
        <f t="shared" si="19"/>
        <v>#DIV/0!</v>
      </c>
      <c r="BS40" s="23">
        <f>'Base de Datos'!BM28</f>
        <v>11386.486486486487</v>
      </c>
      <c r="BT40" s="23">
        <f>'Base de Datos'!BN28</f>
        <v>1267.7962085308056</v>
      </c>
      <c r="BU40" s="23">
        <f>'Base de Datos'!BO28</f>
        <v>1294.0921409214093</v>
      </c>
      <c r="BV40" s="23">
        <f>'Base de Datos'!BP28</f>
        <v>1333.0793650793651</v>
      </c>
      <c r="BW40" s="23">
        <f>'Base de Datos'!BQ28</f>
        <v>1784.0758293838862</v>
      </c>
      <c r="BX40" s="23">
        <f>'Base de Datos'!BR28</f>
        <v>2116.0833333333335</v>
      </c>
      <c r="BY40" s="23" t="e">
        <f>'Base de Datos'!BS28</f>
        <v>#DIV/0!</v>
      </c>
      <c r="BZ40" s="77" t="e">
        <f t="shared" si="20"/>
        <v>#DIV/0!</v>
      </c>
      <c r="CB40" s="23">
        <f>'Base de Datos'!BV28</f>
        <v>11184.21052631579</v>
      </c>
      <c r="CC40" s="23">
        <f>'Base de Datos'!BW28</f>
        <v>0</v>
      </c>
      <c r="CD40" s="23">
        <f>'Base de Datos'!BX28</f>
        <v>642.74151436031332</v>
      </c>
      <c r="CE40" s="23">
        <f>'Base de Datos'!BY28</f>
        <v>1679.5121951219512</v>
      </c>
      <c r="CF40" s="23">
        <f>'Base de Datos'!BZ28</f>
        <v>1989.9305555555554</v>
      </c>
      <c r="CG40" s="23" t="e">
        <f>'Base de Datos'!CA28</f>
        <v>#DIV/0!</v>
      </c>
      <c r="CH40" s="23" t="e">
        <f>'Base de Datos'!CB28</f>
        <v>#DIV/0!</v>
      </c>
      <c r="CI40" s="77" t="e">
        <f t="shared" si="21"/>
        <v>#DIV/0!</v>
      </c>
      <c r="CK40" s="23">
        <f>'Base de Datos'!CE28</f>
        <v>0</v>
      </c>
      <c r="CL40" s="23">
        <f>'Base de Datos'!CF28</f>
        <v>1221.4840182648402</v>
      </c>
      <c r="CM40" s="23">
        <f>'Base de Datos'!CG28</f>
        <v>1393.3421750663128</v>
      </c>
      <c r="CN40" s="23">
        <f>'Base de Datos'!CH28</f>
        <v>2103.0219780219782</v>
      </c>
      <c r="CO40" s="23">
        <f>'Base de Datos'!CI28</f>
        <v>3650.5333333333333</v>
      </c>
      <c r="CP40" s="23">
        <f>'Base de Datos'!CJ28</f>
        <v>11491.25</v>
      </c>
      <c r="CQ40" s="23" t="e">
        <f>'Base de Datos'!CK28</f>
        <v>#DIV/0!</v>
      </c>
      <c r="CR40" s="77" t="e">
        <f t="shared" si="22"/>
        <v>#DIV/0!</v>
      </c>
    </row>
    <row r="41" spans="1:96" ht="15" customHeight="1" outlineLevel="1" thickBot="1" x14ac:dyDescent="0.35">
      <c r="B41" s="2"/>
      <c r="E41" s="93"/>
      <c r="F41" s="82"/>
      <c r="H41" s="94"/>
      <c r="I41" s="94"/>
      <c r="J41" s="94"/>
      <c r="K41" s="94"/>
      <c r="L41" s="94"/>
      <c r="M41" s="94"/>
      <c r="N41" s="94"/>
      <c r="O41" s="94"/>
      <c r="Q41" s="94"/>
      <c r="R41" s="94"/>
      <c r="S41" s="94"/>
      <c r="T41" s="94"/>
      <c r="U41" s="94"/>
      <c r="V41" s="94"/>
      <c r="W41" s="94"/>
      <c r="X41" s="94"/>
      <c r="Z41" s="94"/>
      <c r="AA41" s="94"/>
      <c r="AB41" s="94"/>
      <c r="AC41" s="94"/>
      <c r="AD41" s="94"/>
      <c r="AE41" s="94"/>
      <c r="AF41" s="94"/>
      <c r="AG41" s="94"/>
      <c r="AI41" s="94"/>
      <c r="AJ41" s="94"/>
      <c r="AK41" s="94"/>
      <c r="AL41" s="94"/>
      <c r="AM41" s="94"/>
      <c r="AN41" s="94"/>
      <c r="AO41" s="94"/>
      <c r="AP41" s="94"/>
      <c r="AR41" s="94"/>
      <c r="AS41" s="94"/>
      <c r="AT41" s="94"/>
      <c r="AU41" s="94"/>
      <c r="AV41" s="94"/>
      <c r="AW41" s="94"/>
      <c r="AX41" s="94"/>
      <c r="AY41" s="94"/>
      <c r="BA41" s="94"/>
      <c r="BB41" s="94"/>
      <c r="BC41" s="94"/>
      <c r="BD41" s="94"/>
      <c r="BE41" s="94"/>
      <c r="BF41" s="94"/>
      <c r="BG41" s="94"/>
      <c r="BH41" s="94"/>
      <c r="BJ41" s="94"/>
      <c r="BK41" s="94"/>
      <c r="BL41" s="94"/>
      <c r="BM41" s="94"/>
      <c r="BN41" s="94"/>
      <c r="BO41" s="94"/>
      <c r="BP41" s="94"/>
      <c r="BQ41" s="94"/>
      <c r="BS41" s="94"/>
      <c r="BT41" s="94"/>
      <c r="BU41" s="94"/>
      <c r="BV41" s="94"/>
      <c r="BW41" s="94"/>
      <c r="BX41" s="94"/>
      <c r="BY41" s="94"/>
      <c r="BZ41" s="94"/>
      <c r="CB41" s="94"/>
      <c r="CC41" s="94"/>
      <c r="CD41" s="94"/>
      <c r="CE41" s="94"/>
      <c r="CF41" s="94"/>
      <c r="CG41" s="94"/>
      <c r="CH41" s="94"/>
      <c r="CI41" s="94"/>
      <c r="CK41" s="94"/>
      <c r="CL41" s="94"/>
      <c r="CM41" s="94"/>
      <c r="CN41" s="94"/>
      <c r="CO41" s="94"/>
      <c r="CP41" s="94"/>
      <c r="CQ41" s="94"/>
      <c r="CR41" s="94"/>
    </row>
    <row r="42" spans="1:96" s="31" customFormat="1" ht="15" customHeight="1" outlineLevel="1" thickBot="1" x14ac:dyDescent="0.35">
      <c r="B42" s="936" t="s">
        <v>57</v>
      </c>
      <c r="C42" s="937"/>
      <c r="D42" s="937"/>
      <c r="E42" s="937"/>
      <c r="F42" s="938"/>
      <c r="H42" s="939"/>
      <c r="I42" s="940"/>
      <c r="J42" s="940"/>
      <c r="K42" s="940"/>
      <c r="L42" s="940"/>
      <c r="M42" s="940"/>
      <c r="N42" s="940"/>
      <c r="O42" s="941"/>
      <c r="Q42" s="939"/>
      <c r="R42" s="940"/>
      <c r="S42" s="940"/>
      <c r="T42" s="940"/>
      <c r="U42" s="940"/>
      <c r="V42" s="940"/>
      <c r="W42" s="940"/>
      <c r="X42" s="941"/>
      <c r="Z42" s="939"/>
      <c r="AA42" s="940"/>
      <c r="AB42" s="940"/>
      <c r="AC42" s="940"/>
      <c r="AD42" s="940"/>
      <c r="AE42" s="940"/>
      <c r="AF42" s="940"/>
      <c r="AG42" s="941"/>
      <c r="AI42" s="890"/>
      <c r="AJ42" s="891"/>
      <c r="AK42" s="891"/>
      <c r="AL42" s="891"/>
      <c r="AM42" s="891"/>
      <c r="AN42" s="891"/>
      <c r="AO42" s="891"/>
      <c r="AP42" s="892"/>
      <c r="AR42" s="890"/>
      <c r="AS42" s="891"/>
      <c r="AT42" s="891"/>
      <c r="AU42" s="891"/>
      <c r="AV42" s="891"/>
      <c r="AW42" s="891"/>
      <c r="AX42" s="891"/>
      <c r="AY42" s="892"/>
      <c r="BA42" s="890"/>
      <c r="BB42" s="891"/>
      <c r="BC42" s="891"/>
      <c r="BD42" s="891"/>
      <c r="BE42" s="891"/>
      <c r="BF42" s="891"/>
      <c r="BG42" s="891"/>
      <c r="BH42" s="892"/>
      <c r="BJ42" s="890"/>
      <c r="BK42" s="891"/>
      <c r="BL42" s="891"/>
      <c r="BM42" s="891"/>
      <c r="BN42" s="891"/>
      <c r="BO42" s="891"/>
      <c r="BP42" s="891"/>
      <c r="BQ42" s="892"/>
      <c r="BS42" s="890"/>
      <c r="BT42" s="891"/>
      <c r="BU42" s="891"/>
      <c r="BV42" s="891"/>
      <c r="BW42" s="891"/>
      <c r="BX42" s="891"/>
      <c r="BY42" s="891"/>
      <c r="BZ42" s="892"/>
      <c r="CB42" s="890"/>
      <c r="CC42" s="891"/>
      <c r="CD42" s="891"/>
      <c r="CE42" s="891"/>
      <c r="CF42" s="891"/>
      <c r="CG42" s="891"/>
      <c r="CH42" s="891"/>
      <c r="CI42" s="892"/>
      <c r="CK42" s="890"/>
      <c r="CL42" s="891"/>
      <c r="CM42" s="891"/>
      <c r="CN42" s="891"/>
      <c r="CO42" s="891"/>
      <c r="CP42" s="891"/>
      <c r="CQ42" s="891"/>
      <c r="CR42" s="892"/>
    </row>
    <row r="43" spans="1:96" ht="15" customHeight="1" outlineLevel="1" x14ac:dyDescent="0.3">
      <c r="B43" s="95" t="s">
        <v>21</v>
      </c>
      <c r="C43" s="96" t="s">
        <v>53</v>
      </c>
      <c r="D43" s="96" t="s">
        <v>58</v>
      </c>
      <c r="E43" s="86">
        <v>372</v>
      </c>
      <c r="F43" s="97" t="s">
        <v>37</v>
      </c>
      <c r="H43" s="18">
        <v>0</v>
      </c>
      <c r="I43" s="18">
        <v>0</v>
      </c>
      <c r="J43" s="18">
        <v>329.81491039426521</v>
      </c>
      <c r="K43" s="18">
        <v>997.32142857142867</v>
      </c>
      <c r="L43" s="18">
        <v>2913.4615384615386</v>
      </c>
      <c r="M43" s="18" t="e">
        <v>#DIV/0!</v>
      </c>
      <c r="N43" s="18" t="e">
        <v>#DIV/0!</v>
      </c>
      <c r="O43" s="57" t="e">
        <f t="shared" ref="O43:O44" si="23">AVERAGE(H43:N43)</f>
        <v>#DIV/0!</v>
      </c>
      <c r="Q43" s="18">
        <v>1893.1578947368421</v>
      </c>
      <c r="R43" s="18">
        <v>248.72340425531914</v>
      </c>
      <c r="S43" s="18">
        <v>205.65533980582524</v>
      </c>
      <c r="T43" s="18">
        <v>276.65505226480838</v>
      </c>
      <c r="U43" s="18">
        <v>542.14285714285711</v>
      </c>
      <c r="V43" s="18" t="e">
        <v>#DIV/0!</v>
      </c>
      <c r="W43" s="18" t="e">
        <v>#DIV/0!</v>
      </c>
      <c r="X43" s="57" t="e">
        <f t="shared" ref="X43:X44" si="24">AVERAGE(Q43:W43)</f>
        <v>#DIV/0!</v>
      </c>
      <c r="Z43" s="18">
        <v>368.61702127659578</v>
      </c>
      <c r="AA43" s="18">
        <v>248.79310344827587</v>
      </c>
      <c r="AB43" s="18">
        <v>246.00600600600603</v>
      </c>
      <c r="AC43" s="18">
        <v>270.84558823529414</v>
      </c>
      <c r="AD43" s="18">
        <v>1327.2727272727273</v>
      </c>
      <c r="AE43" s="18" t="e">
        <v>#DIV/0!</v>
      </c>
      <c r="AF43" s="18" t="e">
        <v>#DIV/0!</v>
      </c>
      <c r="AG43" s="57" t="e">
        <f t="shared" ref="AG43:AG44" si="25">AVERAGE(Z43:AF43)</f>
        <v>#DIV/0!</v>
      </c>
      <c r="AI43" s="88">
        <v>279.00990099009903</v>
      </c>
      <c r="AJ43" s="88">
        <v>219.3709327548807</v>
      </c>
      <c r="AK43" s="88">
        <v>235.97014925373136</v>
      </c>
      <c r="AL43" s="88">
        <v>336.92</v>
      </c>
      <c r="AM43" s="88">
        <v>1080.2272727272727</v>
      </c>
      <c r="AN43" s="88" t="e">
        <v>#DIV/0!</v>
      </c>
      <c r="AO43" s="88" t="e">
        <v>#DIV/0!</v>
      </c>
      <c r="AP43" s="57" t="e">
        <f t="shared" ref="AP43:AP44" si="26">AVERAGE(AI43:AO43)</f>
        <v>#DIV/0!</v>
      </c>
      <c r="AR43" s="88"/>
      <c r="AS43" s="88">
        <v>273.68271954674225</v>
      </c>
      <c r="AT43" s="88">
        <v>192.23118279569891</v>
      </c>
      <c r="AU43" s="88">
        <v>0</v>
      </c>
      <c r="AV43" s="88">
        <v>2073.0864197530864</v>
      </c>
      <c r="AW43" s="88">
        <v>674.16666666666674</v>
      </c>
      <c r="AX43" s="88"/>
      <c r="AY43" s="57">
        <f t="shared" ref="AY43:AY44" si="27">AVERAGE(AR43:AX43)</f>
        <v>642.6333977524389</v>
      </c>
      <c r="BA43" s="88">
        <v>266.43137254901961</v>
      </c>
      <c r="BB43" s="88">
        <v>234.34065934065936</v>
      </c>
      <c r="BC43" s="88">
        <v>334.8</v>
      </c>
      <c r="BD43" s="88">
        <v>352.60162601626013</v>
      </c>
      <c r="BE43" s="88">
        <v>694.23913043478262</v>
      </c>
      <c r="BF43" s="88"/>
      <c r="BG43" s="88"/>
      <c r="BH43" s="57">
        <f t="shared" ref="BH43:BH44" si="28">AVERAGE(BA43:BG43)</f>
        <v>376.48255766814435</v>
      </c>
      <c r="BJ43" s="88">
        <v>295.35483870967744</v>
      </c>
      <c r="BK43" s="88">
        <v>198.12217194570135</v>
      </c>
      <c r="BL43" s="88">
        <v>178.27510917030568</v>
      </c>
      <c r="BM43" s="88">
        <v>272.09923664122141</v>
      </c>
      <c r="BN43" s="88">
        <v>7902</v>
      </c>
      <c r="BO43" s="88" t="e">
        <v>#DIV/0!</v>
      </c>
      <c r="BP43" s="88" t="e">
        <v>#DIV/0!</v>
      </c>
      <c r="BQ43" s="57" t="e">
        <f t="shared" ref="BQ43:BQ44" si="29">AVERAGE(BJ43:BP43)</f>
        <v>#DIV/0!</v>
      </c>
      <c r="BS43" s="88">
        <f>'Base de Datos'!BM11</f>
        <v>499.06779661016947</v>
      </c>
      <c r="BT43" s="88">
        <f>'Base de Datos'!BN11</f>
        <v>289.57286432160805</v>
      </c>
      <c r="BU43" s="88">
        <f>'Base de Datos'!BO11</f>
        <v>289.02208201892745</v>
      </c>
      <c r="BV43" s="88">
        <f>'Base de Datos'!BP11</f>
        <v>344.1796875</v>
      </c>
      <c r="BW43" s="88">
        <f>'Base de Datos'!BQ11</f>
        <v>446.38709677419354</v>
      </c>
      <c r="BX43" s="88">
        <f>'Base de Datos'!BR11</f>
        <v>2033.5714285714287</v>
      </c>
      <c r="BY43" s="88" t="e">
        <f>'Base de Datos'!BS11</f>
        <v>#DIV/0!</v>
      </c>
      <c r="BZ43" s="57" t="e">
        <f t="shared" ref="BZ43:BZ44" si="30">AVERAGE(BS43:BY43)</f>
        <v>#DIV/0!</v>
      </c>
      <c r="CB43" s="88">
        <f>'Base de Datos'!BV11</f>
        <v>147.78425655976679</v>
      </c>
      <c r="CC43" s="88">
        <f>'Base de Datos'!BW11</f>
        <v>366.38248847926269</v>
      </c>
      <c r="CD43" s="88">
        <f>'Base de Datos'!BX11</f>
        <v>357.14285714285717</v>
      </c>
      <c r="CE43" s="88">
        <f>'Base de Datos'!BY11</f>
        <v>323.70860927152319</v>
      </c>
      <c r="CF43" s="88">
        <f>'Base de Datos'!BZ11</f>
        <v>519.91666666666663</v>
      </c>
      <c r="CG43" s="88">
        <f>'Base de Datos'!CA11</f>
        <v>499.36708860759489</v>
      </c>
      <c r="CH43" s="88">
        <f>'Base de Datos'!CB11</f>
        <v>114.28571428571428</v>
      </c>
      <c r="CI43" s="57">
        <f t="shared" ref="CI43:CI44" si="31">AVERAGE(CB43:CH43)</f>
        <v>332.65538300191218</v>
      </c>
      <c r="CK43" s="88">
        <f>'Base de Datos'!CE11</f>
        <v>0</v>
      </c>
      <c r="CL43" s="88">
        <f>'Base de Datos'!CF11</f>
        <v>278.38164251207729</v>
      </c>
      <c r="CM43" s="88">
        <f>'Base de Datos'!CG11</f>
        <v>257.12158808933003</v>
      </c>
      <c r="CN43" s="88">
        <f>'Base de Datos'!CH11</f>
        <v>230.34653465346534</v>
      </c>
      <c r="CO43" s="88">
        <f>'Base de Datos'!CI11</f>
        <v>355.37313432835816</v>
      </c>
      <c r="CP43" s="88">
        <f>'Base de Datos'!CJ11</f>
        <v>198.11764705882354</v>
      </c>
      <c r="CQ43" s="88">
        <f>'Base de Datos'!CK11</f>
        <v>163.37748344370863</v>
      </c>
      <c r="CR43" s="57">
        <f t="shared" ref="CR43:CR44" si="32">AVERAGE(CK43:CQ43)</f>
        <v>211.81686144082329</v>
      </c>
    </row>
    <row r="44" spans="1:96" ht="15" customHeight="1" outlineLevel="1" thickBot="1" x14ac:dyDescent="0.35">
      <c r="B44" s="98" t="s">
        <v>23</v>
      </c>
      <c r="C44" s="99" t="s">
        <v>53</v>
      </c>
      <c r="D44" s="100" t="s">
        <v>59</v>
      </c>
      <c r="E44" s="92">
        <v>338</v>
      </c>
      <c r="F44" s="87" t="s">
        <v>37</v>
      </c>
      <c r="H44" s="23">
        <v>0</v>
      </c>
      <c r="I44" s="23">
        <v>0</v>
      </c>
      <c r="J44" s="23">
        <v>193.09927360774816</v>
      </c>
      <c r="K44" s="23">
        <v>285.95988538681951</v>
      </c>
      <c r="L44" s="23">
        <v>290.21897810218979</v>
      </c>
      <c r="M44" s="23">
        <v>860.83333333333337</v>
      </c>
      <c r="N44" s="23" t="e">
        <v>#DIV/0!</v>
      </c>
      <c r="O44" s="77" t="e">
        <f t="shared" si="23"/>
        <v>#DIV/0!</v>
      </c>
      <c r="Q44" s="23">
        <v>384.72843450479235</v>
      </c>
      <c r="R44" s="23">
        <v>232.06666666666666</v>
      </c>
      <c r="S44" s="23">
        <v>254.34679334916865</v>
      </c>
      <c r="T44" s="23">
        <v>259.97354497354502</v>
      </c>
      <c r="U44" s="23">
        <v>309.53488372093022</v>
      </c>
      <c r="V44" s="23">
        <v>422.45901639344265</v>
      </c>
      <c r="W44" s="23" t="e">
        <v>#DIV/0!</v>
      </c>
      <c r="X44" s="77" t="e">
        <f t="shared" si="24"/>
        <v>#DIV/0!</v>
      </c>
      <c r="Z44" s="23">
        <v>919.5454545454545</v>
      </c>
      <c r="AA44" s="23">
        <v>301.17647058823525</v>
      </c>
      <c r="AB44" s="23">
        <v>347.60869565217394</v>
      </c>
      <c r="AC44" s="23">
        <v>431.15830115830119</v>
      </c>
      <c r="AD44" s="23">
        <v>313.76963350785337</v>
      </c>
      <c r="AE44" s="23">
        <v>888.82352941176475</v>
      </c>
      <c r="AF44" s="23" t="e">
        <v>#DIV/0!</v>
      </c>
      <c r="AG44" s="77" t="e">
        <f t="shared" si="25"/>
        <v>#DIV/0!</v>
      </c>
      <c r="AI44" s="23">
        <v>850.99099099099101</v>
      </c>
      <c r="AJ44" s="23">
        <v>299.26686217008796</v>
      </c>
      <c r="AK44" s="23">
        <v>790.6349206349206</v>
      </c>
      <c r="AL44" s="23">
        <v>331.59482758620692</v>
      </c>
      <c r="AM44" s="23">
        <v>384.24083769633506</v>
      </c>
      <c r="AN44" s="23">
        <v>1005.2941176470589</v>
      </c>
      <c r="AO44" s="23" t="e">
        <v>#DIV/0!</v>
      </c>
      <c r="AP44" s="77" t="e">
        <f t="shared" si="26"/>
        <v>#DIV/0!</v>
      </c>
      <c r="AR44" s="23"/>
      <c r="AS44" s="23">
        <v>162.41176470588235</v>
      </c>
      <c r="AT44" s="23">
        <v>26.343490304709139</v>
      </c>
      <c r="AU44" s="23">
        <v>0</v>
      </c>
      <c r="AV44" s="23">
        <v>357.0344827586207</v>
      </c>
      <c r="AW44" s="23">
        <v>692.38095238095241</v>
      </c>
      <c r="AX44" s="23"/>
      <c r="AY44" s="77">
        <f t="shared" si="27"/>
        <v>247.63413803003294</v>
      </c>
      <c r="BA44" s="23">
        <v>440.20547945205482</v>
      </c>
      <c r="BB44" s="23">
        <v>134.34316353887399</v>
      </c>
      <c r="BC44" s="23">
        <v>243.44827586206898</v>
      </c>
      <c r="BD44" s="23">
        <v>312.24066390041492</v>
      </c>
      <c r="BE44" s="23"/>
      <c r="BF44" s="23"/>
      <c r="BG44" s="23"/>
      <c r="BH44" s="77">
        <f t="shared" si="28"/>
        <v>282.55939568835316</v>
      </c>
      <c r="BJ44" s="23">
        <v>677.578125</v>
      </c>
      <c r="BK44" s="23">
        <v>142.9742388758782</v>
      </c>
      <c r="BL44" s="23">
        <v>121.0352422907489</v>
      </c>
      <c r="BM44" s="23">
        <v>234.50479233226835</v>
      </c>
      <c r="BN44" s="23">
        <v>496.32530120481925</v>
      </c>
      <c r="BO44" s="23">
        <v>431.07142857142861</v>
      </c>
      <c r="BP44" s="23" t="e">
        <v>#DIV/0!</v>
      </c>
      <c r="BQ44" s="77" t="e">
        <f t="shared" si="29"/>
        <v>#DIV/0!</v>
      </c>
      <c r="BS44" s="23">
        <f>'Base de Datos'!BM29</f>
        <v>2299.4594594594591</v>
      </c>
      <c r="BT44" s="23">
        <f>'Base de Datos'!BN29</f>
        <v>245.09478672985782</v>
      </c>
      <c r="BU44" s="23">
        <f>'Base de Datos'!BO29</f>
        <v>179.159891598916</v>
      </c>
      <c r="BV44" s="23">
        <f>'Base de Datos'!BP29</f>
        <v>209.87301587301587</v>
      </c>
      <c r="BW44" s="23">
        <f>'Base de Datos'!BQ29</f>
        <v>322.98578199052133</v>
      </c>
      <c r="BX44" s="23">
        <f>'Base de Datos'!BR29</f>
        <v>393.41666666666669</v>
      </c>
      <c r="BY44" s="23" t="e">
        <f>'Base de Datos'!BS29</f>
        <v>#DIV/0!</v>
      </c>
      <c r="BZ44" s="77" t="e">
        <f t="shared" si="30"/>
        <v>#DIV/0!</v>
      </c>
      <c r="CB44" s="23">
        <f>'Base de Datos'!BV29</f>
        <v>1419.4736842105265</v>
      </c>
      <c r="CC44" s="23">
        <f>'Base de Datos'!BW29</f>
        <v>336.21004566210047</v>
      </c>
      <c r="CD44" s="23">
        <f>'Base de Datos'!BX29</f>
        <v>189.97389033942559</v>
      </c>
      <c r="CE44" s="23">
        <f>'Base de Datos'!BY29</f>
        <v>287.80487804878049</v>
      </c>
      <c r="CF44" s="23">
        <f>'Base de Datos'!BZ29</f>
        <v>439.02777777777777</v>
      </c>
      <c r="CG44" s="23" t="e">
        <f>'Base de Datos'!CA29</f>
        <v>#DIV/0!</v>
      </c>
      <c r="CH44" s="23" t="e">
        <f>'Base de Datos'!CB29</f>
        <v>#DIV/0!</v>
      </c>
      <c r="CI44" s="77" t="e">
        <f t="shared" si="31"/>
        <v>#DIV/0!</v>
      </c>
      <c r="CK44" s="23">
        <f>'Base de Datos'!CE29</f>
        <v>0</v>
      </c>
      <c r="CL44" s="23">
        <f>'Base de Datos'!CF29</f>
        <v>245.31963470319636</v>
      </c>
      <c r="CM44" s="23">
        <f>'Base de Datos'!CG29</f>
        <v>306.79045092838192</v>
      </c>
      <c r="CN44" s="23">
        <f>'Base de Datos'!CH29</f>
        <v>404.23076923076923</v>
      </c>
      <c r="CO44" s="23">
        <f>'Base de Datos'!CI29</f>
        <v>656.66666666666663</v>
      </c>
      <c r="CP44" s="23">
        <f>'Base de Datos'!CJ29</f>
        <v>970.625</v>
      </c>
      <c r="CQ44" s="23" t="e">
        <f>'Base de Datos'!CK29</f>
        <v>#DIV/0!</v>
      </c>
      <c r="CR44" s="77" t="e">
        <f t="shared" si="32"/>
        <v>#DIV/0!</v>
      </c>
    </row>
    <row r="45" spans="1:96" ht="16.2" outlineLevel="1" thickBot="1" x14ac:dyDescent="0.35">
      <c r="A45" s="78"/>
      <c r="B45" s="79"/>
      <c r="C45" s="80"/>
      <c r="E45" s="81"/>
      <c r="F45" s="82"/>
      <c r="H45" s="29"/>
      <c r="I45" s="29"/>
      <c r="J45" s="29"/>
      <c r="K45" s="29"/>
      <c r="L45" s="29"/>
      <c r="M45" s="29"/>
      <c r="N45" s="29"/>
      <c r="O45" s="30"/>
      <c r="Q45" s="29"/>
      <c r="R45" s="29"/>
      <c r="S45" s="29"/>
      <c r="T45" s="29"/>
      <c r="U45" s="29"/>
      <c r="V45" s="29"/>
      <c r="W45" s="29"/>
      <c r="X45" s="30"/>
      <c r="Z45" s="29"/>
      <c r="AA45" s="29"/>
      <c r="AB45" s="29"/>
      <c r="AC45" s="29"/>
      <c r="AD45" s="29"/>
      <c r="AE45" s="29"/>
      <c r="AF45" s="29"/>
      <c r="AG45" s="30"/>
      <c r="AI45" s="29"/>
      <c r="AJ45" s="29"/>
      <c r="AK45" s="29"/>
      <c r="AL45" s="29"/>
      <c r="AM45" s="29"/>
      <c r="AN45" s="29"/>
      <c r="AO45" s="29"/>
      <c r="AP45" s="30"/>
      <c r="AR45" s="29"/>
      <c r="AS45" s="29"/>
      <c r="AT45" s="29"/>
      <c r="AU45" s="29"/>
      <c r="AV45" s="29"/>
      <c r="AW45" s="29"/>
      <c r="AX45" s="29"/>
      <c r="AY45" s="30"/>
      <c r="BA45" s="29"/>
      <c r="BB45" s="29"/>
      <c r="BC45" s="29"/>
      <c r="BD45" s="29"/>
      <c r="BE45" s="29"/>
      <c r="BF45" s="29"/>
      <c r="BG45" s="29"/>
      <c r="BH45" s="30"/>
      <c r="BJ45" s="29"/>
      <c r="BK45" s="29"/>
      <c r="BL45" s="29"/>
      <c r="BM45" s="29"/>
      <c r="BN45" s="29"/>
      <c r="BO45" s="29"/>
      <c r="BP45" s="29"/>
      <c r="BQ45" s="30"/>
      <c r="BS45" s="83"/>
      <c r="BT45" s="29"/>
      <c r="BU45" s="29"/>
      <c r="BV45" s="29"/>
      <c r="BW45" s="29"/>
      <c r="BX45" s="29"/>
      <c r="BY45" s="29"/>
      <c r="BZ45" s="30"/>
      <c r="CB45" s="83"/>
      <c r="CC45" s="29"/>
      <c r="CD45" s="29"/>
      <c r="CE45" s="29"/>
      <c r="CF45" s="29"/>
      <c r="CG45" s="29"/>
      <c r="CH45" s="29"/>
      <c r="CI45" s="30"/>
      <c r="CK45" s="83"/>
      <c r="CL45" s="29"/>
      <c r="CM45" s="29"/>
      <c r="CN45" s="29"/>
      <c r="CO45" s="29"/>
      <c r="CP45" s="29"/>
      <c r="CQ45" s="29"/>
      <c r="CR45" s="30"/>
    </row>
    <row r="46" spans="1:96" ht="15" customHeight="1" outlineLevel="1" thickBot="1" x14ac:dyDescent="0.35">
      <c r="B46" s="948" t="s">
        <v>18</v>
      </c>
      <c r="C46" s="949"/>
      <c r="D46" s="949"/>
      <c r="E46" s="949"/>
      <c r="F46" s="950"/>
      <c r="H46" s="893"/>
      <c r="I46" s="894"/>
      <c r="J46" s="894"/>
      <c r="K46" s="894"/>
      <c r="L46" s="894"/>
      <c r="M46" s="894"/>
      <c r="N46" s="894"/>
      <c r="O46" s="895"/>
      <c r="Q46" s="893"/>
      <c r="R46" s="894"/>
      <c r="S46" s="894"/>
      <c r="T46" s="894"/>
      <c r="U46" s="894"/>
      <c r="V46" s="894"/>
      <c r="W46" s="894"/>
      <c r="X46" s="895"/>
      <c r="Z46" s="893"/>
      <c r="AA46" s="894"/>
      <c r="AB46" s="894"/>
      <c r="AC46" s="894"/>
      <c r="AD46" s="894"/>
      <c r="AE46" s="894"/>
      <c r="AF46" s="894"/>
      <c r="AG46" s="895"/>
      <c r="AI46" s="893"/>
      <c r="AJ46" s="894"/>
      <c r="AK46" s="894"/>
      <c r="AL46" s="894"/>
      <c r="AM46" s="894"/>
      <c r="AN46" s="894"/>
      <c r="AO46" s="894"/>
      <c r="AP46" s="895"/>
      <c r="AR46" s="893"/>
      <c r="AS46" s="894"/>
      <c r="AT46" s="894"/>
      <c r="AU46" s="894"/>
      <c r="AV46" s="894"/>
      <c r="AW46" s="894"/>
      <c r="AX46" s="894"/>
      <c r="AY46" s="895"/>
      <c r="BA46" s="893"/>
      <c r="BB46" s="894"/>
      <c r="BC46" s="894"/>
      <c r="BD46" s="894"/>
      <c r="BE46" s="894"/>
      <c r="BF46" s="894"/>
      <c r="BG46" s="894"/>
      <c r="BH46" s="895"/>
      <c r="BJ46" s="893"/>
      <c r="BK46" s="894"/>
      <c r="BL46" s="894"/>
      <c r="BM46" s="894"/>
      <c r="BN46" s="894"/>
      <c r="BO46" s="894"/>
      <c r="BP46" s="894"/>
      <c r="BQ46" s="895"/>
      <c r="BS46" s="893"/>
      <c r="BT46" s="894"/>
      <c r="BU46" s="894"/>
      <c r="BV46" s="894"/>
      <c r="BW46" s="894"/>
      <c r="BX46" s="894"/>
      <c r="BY46" s="894"/>
      <c r="BZ46" s="895"/>
      <c r="CB46" s="893"/>
      <c r="CC46" s="894"/>
      <c r="CD46" s="894"/>
      <c r="CE46" s="894"/>
      <c r="CF46" s="894"/>
      <c r="CG46" s="894"/>
      <c r="CH46" s="894"/>
      <c r="CI46" s="895"/>
      <c r="CK46" s="893"/>
      <c r="CL46" s="894"/>
      <c r="CM46" s="894"/>
      <c r="CN46" s="894"/>
      <c r="CO46" s="894"/>
      <c r="CP46" s="894"/>
      <c r="CQ46" s="894"/>
      <c r="CR46" s="895"/>
    </row>
    <row r="47" spans="1:96" ht="17.25" customHeight="1" outlineLevel="1" x14ac:dyDescent="0.3">
      <c r="B47" s="110" t="s">
        <v>64</v>
      </c>
      <c r="C47" s="111" t="s">
        <v>65</v>
      </c>
      <c r="D47" s="111" t="s">
        <v>66</v>
      </c>
      <c r="E47" s="249">
        <v>49.63</v>
      </c>
      <c r="F47" s="97">
        <f>IF(BM47&gt;$E47,(BM47/$E47)-100%,"OK")</f>
        <v>0.14374357149617478</v>
      </c>
      <c r="H47" s="112">
        <v>49.669319550086634</v>
      </c>
      <c r="I47" s="112">
        <v>46.362004317691174</v>
      </c>
      <c r="J47" s="112">
        <v>50.843663911845731</v>
      </c>
      <c r="K47" s="112">
        <v>66.536128048780498</v>
      </c>
      <c r="L47" s="112">
        <v>72.105546123372946</v>
      </c>
      <c r="M47" s="112" t="e">
        <v>#DIV/0!</v>
      </c>
      <c r="N47" s="112" t="e">
        <v>#DIV/0!</v>
      </c>
      <c r="O47" s="57" t="e">
        <f>AVERAGE(H47:N47)</f>
        <v>#DIV/0!</v>
      </c>
      <c r="Q47" s="112">
        <v>42.614559819413095</v>
      </c>
      <c r="R47" s="112">
        <v>44.115645328814303</v>
      </c>
      <c r="S47" s="112">
        <v>57.879909706546272</v>
      </c>
      <c r="T47" s="112">
        <v>67.658047016274864</v>
      </c>
      <c r="U47" s="112" t="e">
        <v>#DIV/0!</v>
      </c>
      <c r="V47" s="112" t="e">
        <v>#DIV/0!</v>
      </c>
      <c r="W47" s="112" t="e">
        <v>#DIV/0!</v>
      </c>
      <c r="X47" s="57" t="e">
        <f>AVERAGE(Q47:W47)</f>
        <v>#DIV/0!</v>
      </c>
      <c r="Z47" s="112">
        <v>50.326096033402919</v>
      </c>
      <c r="AA47" s="112">
        <v>60.952664974619289</v>
      </c>
      <c r="AB47" s="112">
        <v>51.80264255910987</v>
      </c>
      <c r="AC47" s="112">
        <v>63.562302692664808</v>
      </c>
      <c r="AD47" s="112">
        <v>41.432038834951463</v>
      </c>
      <c r="AE47" s="112">
        <v>240.68571428571428</v>
      </c>
      <c r="AF47" s="112" t="e">
        <v>#DIV/0!</v>
      </c>
      <c r="AG47" s="57" t="e">
        <f>AVERAGE(Z47:AF47)</f>
        <v>#DIV/0!</v>
      </c>
      <c r="AI47" s="112">
        <v>73.384210526315783</v>
      </c>
      <c r="AJ47" s="112">
        <v>40.96416794899978</v>
      </c>
      <c r="AK47" s="112">
        <v>53.753142750721665</v>
      </c>
      <c r="AL47" s="112">
        <v>50.468738229755175</v>
      </c>
      <c r="AM47" s="112" t="e">
        <v>#DIV/0!</v>
      </c>
      <c r="AN47" s="112" t="e">
        <v>#DIV/0!</v>
      </c>
      <c r="AO47" s="112" t="e">
        <v>#DIV/0!</v>
      </c>
      <c r="AP47" s="57" t="e">
        <f>AVERAGE(AI47:AO47)</f>
        <v>#DIV/0!</v>
      </c>
      <c r="AR47" s="112" t="e">
        <v>#DIV/0!</v>
      </c>
      <c r="AS47" s="112">
        <v>43.793511450381686</v>
      </c>
      <c r="AT47" s="112">
        <v>47.880459770114946</v>
      </c>
      <c r="AU47" s="112">
        <v>52.527345844504026</v>
      </c>
      <c r="AV47" s="112">
        <v>6.8188405797101455</v>
      </c>
      <c r="AW47" s="112" t="e">
        <v>#DIV/0!</v>
      </c>
      <c r="AX47" s="112" t="e">
        <v>#DIV/0!</v>
      </c>
      <c r="AY47" s="57" t="e">
        <f>AVERAGE(AR47:AX47)</f>
        <v>#DIV/0!</v>
      </c>
      <c r="BA47" s="112">
        <v>0</v>
      </c>
      <c r="BB47" s="112">
        <v>59.358080671358962</v>
      </c>
      <c r="BC47" s="112">
        <v>41.164454545454547</v>
      </c>
      <c r="BD47" s="112">
        <v>66.318200408997953</v>
      </c>
      <c r="BE47" s="112" t="e">
        <v>#DIV/0!</v>
      </c>
      <c r="BF47" s="112" t="e">
        <v>#DIV/0!</v>
      </c>
      <c r="BG47" s="112" t="e">
        <v>#DIV/0!</v>
      </c>
      <c r="BH47" s="57" t="e">
        <f>AVERAGE(BA47:BG47)</f>
        <v>#DIV/0!</v>
      </c>
      <c r="BJ47" s="112">
        <v>47.598325123152705</v>
      </c>
      <c r="BK47" s="112">
        <v>50.917904524322488</v>
      </c>
      <c r="BL47" s="112" t="e">
        <v>#DIV/0!</v>
      </c>
      <c r="BM47" s="112">
        <v>56.763993453355155</v>
      </c>
      <c r="BN47" s="112" t="e">
        <v>#DIV/0!</v>
      </c>
      <c r="BO47" s="112" t="e">
        <v>#DIV/0!</v>
      </c>
      <c r="BP47" s="112" t="e">
        <v>#DIV/0!</v>
      </c>
      <c r="BQ47" s="57" t="e">
        <f>AVERAGE(BJ47:BP47)</f>
        <v>#DIV/0!</v>
      </c>
      <c r="BS47" s="112">
        <f>'Base de Datos'!BM54</f>
        <v>50.493055555555557</v>
      </c>
      <c r="BT47" s="112">
        <f>'Base de Datos'!BN54</f>
        <v>54.604212454212451</v>
      </c>
      <c r="BU47" s="112">
        <f>'Base de Datos'!BO54</f>
        <v>57.174415405777161</v>
      </c>
      <c r="BV47" s="112">
        <f>'Base de Datos'!BP54</f>
        <v>71.640715883668904</v>
      </c>
      <c r="BW47" s="112" t="e">
        <f>'Base de Datos'!BQ54</f>
        <v>#DIV/0!</v>
      </c>
      <c r="BX47" s="112" t="e">
        <f>'Base de Datos'!BR54</f>
        <v>#DIV/0!</v>
      </c>
      <c r="BY47" s="112" t="e">
        <f>'Base de Datos'!BS54</f>
        <v>#DIV/0!</v>
      </c>
      <c r="BZ47" s="57" t="e">
        <f t="shared" ref="BZ47:BZ51" si="33">AVERAGE(BS47:BY47)</f>
        <v>#DIV/0!</v>
      </c>
      <c r="CB47" s="112">
        <f>'Base de Datos'!BV54</f>
        <v>46.939569892473116</v>
      </c>
      <c r="CC47" s="112">
        <f>'Base de Datos'!BW54</f>
        <v>41.832079207920792</v>
      </c>
      <c r="CD47" s="112">
        <f>'Base de Datos'!BX54</f>
        <v>74.479301075268808</v>
      </c>
      <c r="CE47" s="112">
        <f>'Base de Datos'!BY54</f>
        <v>30.753424657534246</v>
      </c>
      <c r="CF47" s="112">
        <f>'Base de Datos'!BZ54</f>
        <v>206.55692307692306</v>
      </c>
      <c r="CG47" s="112" t="e">
        <f>'Base de Datos'!CA54</f>
        <v>#DIV/0!</v>
      </c>
      <c r="CH47" s="112" t="e">
        <f>'Base de Datos'!CB54</f>
        <v>#DIV/0!</v>
      </c>
      <c r="CI47" s="57" t="e">
        <f t="shared" ref="CI47:CI51" si="34">AVERAGE(CB47:CH47)</f>
        <v>#DIV/0!</v>
      </c>
      <c r="CK47" s="112">
        <f>'Base de Datos'!CE54</f>
        <v>45.686904761904756</v>
      </c>
      <c r="CL47" s="112">
        <f>'Base de Datos'!CF54</f>
        <v>47.55872093023256</v>
      </c>
      <c r="CM47" s="112">
        <f>'Base de Datos'!CG54</f>
        <v>48.621375464684014</v>
      </c>
      <c r="CN47" s="112">
        <f>'Base de Datos'!CH54</f>
        <v>53.781211180124224</v>
      </c>
      <c r="CO47" s="112" t="e">
        <f>'Base de Datos'!CI54</f>
        <v>#DIV/0!</v>
      </c>
      <c r="CP47" s="112" t="e">
        <f>'Base de Datos'!CJ54</f>
        <v>#DIV/0!</v>
      </c>
      <c r="CQ47" s="112" t="e">
        <f>'Base de Datos'!CK54</f>
        <v>#DIV/0!</v>
      </c>
      <c r="CR47" s="57" t="e">
        <f t="shared" ref="CR47:CR51" si="35">AVERAGE(CK47:CQ47)</f>
        <v>#DIV/0!</v>
      </c>
    </row>
    <row r="48" spans="1:96" outlineLevel="1" x14ac:dyDescent="0.3">
      <c r="B48" s="110" t="s">
        <v>67</v>
      </c>
      <c r="C48" s="111" t="s">
        <v>68</v>
      </c>
      <c r="D48" s="111" t="s">
        <v>69</v>
      </c>
      <c r="E48" s="249">
        <v>0.82</v>
      </c>
      <c r="F48" s="97" t="str">
        <f>IF(BM48&gt;$E48,(BM48/$E48)-100%,"OK")</f>
        <v>OK</v>
      </c>
      <c r="H48" s="101">
        <v>0.59254255871095318</v>
      </c>
      <c r="I48" s="101">
        <v>0.56720827178729694</v>
      </c>
      <c r="J48" s="101">
        <v>0.70206611570247934</v>
      </c>
      <c r="K48" s="101">
        <v>0.75762195121951226</v>
      </c>
      <c r="L48" s="101">
        <v>0.96661007357102413</v>
      </c>
      <c r="M48" s="101" t="e">
        <v>#DIV/0!</v>
      </c>
      <c r="N48" s="101" t="e">
        <v>#DIV/0!</v>
      </c>
      <c r="O48" s="57" t="e">
        <f>AVERAGE(H48:N48)</f>
        <v>#DIV/0!</v>
      </c>
      <c r="Q48" s="101">
        <v>0.5950338600451468</v>
      </c>
      <c r="R48" s="101">
        <v>0.67607828130979064</v>
      </c>
      <c r="S48" s="101">
        <v>0.76945071482317529</v>
      </c>
      <c r="T48" s="101">
        <v>0.82766726943942148</v>
      </c>
      <c r="U48" s="101" t="e">
        <v>#DIV/0!</v>
      </c>
      <c r="V48" s="101" t="e">
        <v>#DIV/0!</v>
      </c>
      <c r="W48" s="101" t="e">
        <v>#DIV/0!</v>
      </c>
      <c r="X48" s="57" t="e">
        <f>AVERAGE(Q48:W48)</f>
        <v>#DIV/0!</v>
      </c>
      <c r="Z48" s="101">
        <v>0.86826722338204598</v>
      </c>
      <c r="AA48" s="101">
        <v>0.58743654822335023</v>
      </c>
      <c r="AB48" s="101">
        <v>0.81961057023643946</v>
      </c>
      <c r="AC48" s="101">
        <v>1.0440111420612812</v>
      </c>
      <c r="AD48" s="101">
        <v>0.47953002835295128</v>
      </c>
      <c r="AE48" s="101">
        <v>8.5761904761904759</v>
      </c>
      <c r="AF48" s="101" t="e">
        <v>#DIV/0!</v>
      </c>
      <c r="AG48" s="57" t="e">
        <f>AVERAGE(Z48:AF48)</f>
        <v>#DIV/0!</v>
      </c>
      <c r="AI48" s="101">
        <v>0.88867623604465706</v>
      </c>
      <c r="AJ48" s="101">
        <v>0.53220488019344914</v>
      </c>
      <c r="AK48" s="101">
        <v>0.71817673898873269</v>
      </c>
      <c r="AL48" s="101">
        <v>0.70018832391713748</v>
      </c>
      <c r="AM48" s="101" t="e">
        <v>#DIV/0!</v>
      </c>
      <c r="AN48" s="101" t="e">
        <v>#DIV/0!</v>
      </c>
      <c r="AO48" s="101" t="e">
        <v>#DIV/0!</v>
      </c>
      <c r="AP48" s="57" t="e">
        <f>AVERAGE(AI48:AO48)</f>
        <v>#DIV/0!</v>
      </c>
      <c r="AR48" s="101" t="e">
        <v>#DIV/0!</v>
      </c>
      <c r="AS48" s="101">
        <v>0.71278625954198482</v>
      </c>
      <c r="AT48" s="101">
        <v>0.60204342273307798</v>
      </c>
      <c r="AU48" s="101">
        <v>0.63646112600536198</v>
      </c>
      <c r="AV48" s="101">
        <v>0.22633744855967078</v>
      </c>
      <c r="AW48" s="101" t="e">
        <v>#DIV/0!</v>
      </c>
      <c r="AX48" s="101" t="e">
        <v>#DIV/0!</v>
      </c>
      <c r="AY48" s="57" t="e">
        <f>AVERAGE(AR48:AX48)</f>
        <v>#DIV/0!</v>
      </c>
      <c r="BA48" s="101">
        <v>0.4001592673700976</v>
      </c>
      <c r="BB48" s="101">
        <v>0.68371007038440712</v>
      </c>
      <c r="BC48" s="101">
        <v>0.42872727272727268</v>
      </c>
      <c r="BD48" s="101">
        <v>0.79959100204498978</v>
      </c>
      <c r="BE48" s="101" t="e">
        <v>#DIV/0!</v>
      </c>
      <c r="BF48" s="101" t="e">
        <v>#DIV/0!</v>
      </c>
      <c r="BG48" s="101" t="e">
        <v>#DIV/0!</v>
      </c>
      <c r="BH48" s="57" t="e">
        <f>AVERAGE(BA48:BG48)</f>
        <v>#DIV/0!</v>
      </c>
      <c r="BJ48" s="101">
        <v>0.61093596059113298</v>
      </c>
      <c r="BK48" s="101">
        <v>0.57999773216918016</v>
      </c>
      <c r="BL48" s="101" t="e">
        <v>#DIV/0!</v>
      </c>
      <c r="BM48" s="101">
        <v>0.80523731587561376</v>
      </c>
      <c r="BN48" s="101" t="e">
        <v>#DIV/0!</v>
      </c>
      <c r="BO48" s="101" t="e">
        <v>#DIV/0!</v>
      </c>
      <c r="BP48" s="101" t="e">
        <v>#DIV/0!</v>
      </c>
      <c r="BQ48" s="57" t="e">
        <f>AVERAGE(BJ48:BP48)</f>
        <v>#DIV/0!</v>
      </c>
      <c r="BS48" s="101">
        <f>'Base de Datos'!BM53</f>
        <v>0.62938034188034186</v>
      </c>
      <c r="BT48" s="101">
        <f>'Base de Datos'!BN53</f>
        <v>0.89102564102564097</v>
      </c>
      <c r="BU48" s="101">
        <f>'Base de Datos'!BO53</f>
        <v>0.70426409903713894</v>
      </c>
      <c r="BV48" s="101">
        <f>'Base de Datos'!BP53</f>
        <v>0.94161073825503361</v>
      </c>
      <c r="BW48" s="101" t="e">
        <f>'Base de Datos'!BQ53</f>
        <v>#DIV/0!</v>
      </c>
      <c r="BX48" s="101" t="e">
        <f>'Base de Datos'!BR53</f>
        <v>#DIV/0!</v>
      </c>
      <c r="BY48" s="101" t="e">
        <f>'Base de Datos'!BS53</f>
        <v>#DIV/0!</v>
      </c>
      <c r="BZ48" s="57" t="e">
        <f t="shared" si="33"/>
        <v>#DIV/0!</v>
      </c>
      <c r="CB48" s="101">
        <f>'Base de Datos'!BV53</f>
        <v>0.63709677419354838</v>
      </c>
      <c r="CC48" s="101">
        <f>'Base de Datos'!BW53</f>
        <v>0.48990099009900989</v>
      </c>
      <c r="CD48" s="101">
        <f>'Base de Datos'!BX53</f>
        <v>1.1604838709677419</v>
      </c>
      <c r="CE48" s="101">
        <f>'Base de Datos'!BY53</f>
        <v>0.48590998043052835</v>
      </c>
      <c r="CF48" s="101">
        <f>'Base de Datos'!BZ53</f>
        <v>3.5430769230769235</v>
      </c>
      <c r="CG48" s="101" t="e">
        <f>'Base de Datos'!CA53</f>
        <v>#DIV/0!</v>
      </c>
      <c r="CH48" s="101" t="e">
        <f>'Base de Datos'!CB53</f>
        <v>#DIV/0!</v>
      </c>
      <c r="CI48" s="57" t="e">
        <f t="shared" si="34"/>
        <v>#DIV/0!</v>
      </c>
      <c r="CK48" s="101">
        <f>'Base de Datos'!CE53</f>
        <v>0.53333333333333333</v>
      </c>
      <c r="CL48" s="101">
        <f>'Base de Datos'!CF53</f>
        <v>0.60625000000000007</v>
      </c>
      <c r="CM48" s="101">
        <f>'Base de Datos'!CG53</f>
        <v>0.50864312267657996</v>
      </c>
      <c r="CN48" s="101">
        <f>'Base de Datos'!CH53</f>
        <v>0.56785714285714284</v>
      </c>
      <c r="CO48" s="101" t="e">
        <f>'Base de Datos'!CI53</f>
        <v>#DIV/0!</v>
      </c>
      <c r="CP48" s="101" t="e">
        <f>'Base de Datos'!CJ53</f>
        <v>#DIV/0!</v>
      </c>
      <c r="CQ48" s="101" t="e">
        <f>'Base de Datos'!CK53</f>
        <v>#DIV/0!</v>
      </c>
      <c r="CR48" s="57" t="e">
        <f t="shared" si="35"/>
        <v>#DIV/0!</v>
      </c>
    </row>
    <row r="49" spans="2:96" outlineLevel="1" x14ac:dyDescent="0.3">
      <c r="B49" s="110" t="s">
        <v>70</v>
      </c>
      <c r="C49" s="111" t="s">
        <v>71</v>
      </c>
      <c r="D49" s="111" t="s">
        <v>72</v>
      </c>
      <c r="E49" s="249">
        <v>0.93</v>
      </c>
      <c r="F49" s="97">
        <f>IF(BM49&gt;$E49,(BM49/$E49)-100%,"OK")</f>
        <v>1.0506309064991282E-2</v>
      </c>
      <c r="H49" s="101">
        <v>0.97667224653216245</v>
      </c>
      <c r="I49" s="101">
        <v>1.0061356664015453</v>
      </c>
      <c r="J49" s="101">
        <v>1.0830578512396694</v>
      </c>
      <c r="K49" s="101">
        <v>1.1789634146341466</v>
      </c>
      <c r="L49" s="101">
        <v>1.1547821165817769</v>
      </c>
      <c r="M49" s="101" t="e">
        <v>#DIV/0!</v>
      </c>
      <c r="N49" s="101" t="e">
        <v>#DIV/0!</v>
      </c>
      <c r="O49" s="57" t="e">
        <f>AVERAGE(H49:N49)</f>
        <v>#DIV/0!</v>
      </c>
      <c r="Q49" s="101">
        <v>0.90846501128668167</v>
      </c>
      <c r="R49" s="101">
        <v>0.97564642212868313</v>
      </c>
      <c r="S49" s="101">
        <v>1.2224228743416103</v>
      </c>
      <c r="T49" s="101">
        <v>1.4560578661844485</v>
      </c>
      <c r="U49" s="101" t="e">
        <v>#DIV/0!</v>
      </c>
      <c r="V49" s="101" t="e">
        <v>#DIV/0!</v>
      </c>
      <c r="W49" s="101" t="e">
        <v>#DIV/0!</v>
      </c>
      <c r="X49" s="57" t="e">
        <f>AVERAGE(Q49:W49)</f>
        <v>#DIV/0!</v>
      </c>
      <c r="Z49" s="101">
        <v>1.1810020876826723</v>
      </c>
      <c r="AA49" s="101">
        <v>1.1664974619289341</v>
      </c>
      <c r="AB49" s="101">
        <v>1.1247566063977747</v>
      </c>
      <c r="AC49" s="101">
        <v>1.331104921077066</v>
      </c>
      <c r="AD49" s="101">
        <v>0.71086433542400551</v>
      </c>
      <c r="AE49" s="101">
        <v>1.0619047619047619</v>
      </c>
      <c r="AF49" s="101" t="e">
        <v>#DIV/0!</v>
      </c>
      <c r="AG49" s="57" t="e">
        <f>AVERAGE(Z49:AF49)</f>
        <v>#DIV/0!</v>
      </c>
      <c r="AI49" s="101">
        <v>1.5446570972886762</v>
      </c>
      <c r="AJ49" s="101">
        <v>0.80490217630248406</v>
      </c>
      <c r="AK49" s="101">
        <v>0.95399944128876046</v>
      </c>
      <c r="AL49" s="101">
        <v>0.90225988700564963</v>
      </c>
      <c r="AM49" s="101" t="e">
        <v>#DIV/0!</v>
      </c>
      <c r="AN49" s="101" t="e">
        <v>#DIV/0!</v>
      </c>
      <c r="AO49" s="101" t="e">
        <v>#DIV/0!</v>
      </c>
      <c r="AP49" s="57" t="e">
        <f>AVERAGE(AI49:AO49)</f>
        <v>#DIV/0!</v>
      </c>
      <c r="AR49" s="101" t="e">
        <v>#DIV/0!</v>
      </c>
      <c r="AS49" s="101">
        <v>0.91106870229007642</v>
      </c>
      <c r="AT49" s="101">
        <v>0.97407407407407409</v>
      </c>
      <c r="AU49" s="101">
        <v>1.1128686327077748</v>
      </c>
      <c r="AV49" s="101">
        <v>0.13213455000894614</v>
      </c>
      <c r="AW49" s="101" t="e">
        <v>#DIV/0!</v>
      </c>
      <c r="AX49" s="101" t="e">
        <v>#DIV/0!</v>
      </c>
      <c r="AY49" s="57" t="e">
        <f>AVERAGE(AR49:AX49)</f>
        <v>#DIV/0!</v>
      </c>
      <c r="BA49" s="101">
        <v>0</v>
      </c>
      <c r="BB49" s="101">
        <v>1.3768949648077964</v>
      </c>
      <c r="BC49" s="101">
        <v>0.80681818181818177</v>
      </c>
      <c r="BD49" s="101">
        <v>1.3989775051124744</v>
      </c>
      <c r="BE49" s="101" t="e">
        <v>#DIV/0!</v>
      </c>
      <c r="BF49" s="101" t="e">
        <v>#DIV/0!</v>
      </c>
      <c r="BG49" s="101" t="e">
        <v>#DIV/0!</v>
      </c>
      <c r="BH49" s="57" t="e">
        <f>AVERAGE(BA49:BG49)</f>
        <v>#DIV/0!</v>
      </c>
      <c r="BJ49" s="101">
        <v>0.94009852216748768</v>
      </c>
      <c r="BK49" s="101">
        <v>1.0208640435423517</v>
      </c>
      <c r="BL49" s="101" t="e">
        <v>#DIV/0!</v>
      </c>
      <c r="BM49" s="101">
        <v>0.93977086743044191</v>
      </c>
      <c r="BN49" s="101" t="e">
        <v>#DIV/0!</v>
      </c>
      <c r="BO49" s="101" t="e">
        <v>#DIV/0!</v>
      </c>
      <c r="BP49" s="101" t="e">
        <v>#DIV/0!</v>
      </c>
      <c r="BQ49" s="57" t="e">
        <f>AVERAGE(BJ49:BP49)</f>
        <v>#DIV/0!</v>
      </c>
      <c r="BS49" s="101">
        <f>'Base de Datos'!BM52</f>
        <v>0.97297008547008546</v>
      </c>
      <c r="BT49" s="101">
        <f>'Base de Datos'!BN52</f>
        <v>0.92930402930402933</v>
      </c>
      <c r="BU49" s="101">
        <f>'Base de Datos'!BO52</f>
        <v>1.0160935350756535</v>
      </c>
      <c r="BV49" s="101">
        <f>'Base de Datos'!BP52</f>
        <v>1.2136465324384786</v>
      </c>
      <c r="BW49" s="101" t="e">
        <f>'Base de Datos'!BQ52</f>
        <v>#DIV/0!</v>
      </c>
      <c r="BX49" s="101" t="e">
        <f>'Base de Datos'!BR52</f>
        <v>#DIV/0!</v>
      </c>
      <c r="BY49" s="101" t="e">
        <f>'Base de Datos'!BS52</f>
        <v>#DIV/0!</v>
      </c>
      <c r="BZ49" s="57" t="e">
        <f t="shared" si="33"/>
        <v>#DIV/0!</v>
      </c>
      <c r="CB49" s="101">
        <f>'Base de Datos'!BV52</f>
        <v>0.8848387096774194</v>
      </c>
      <c r="CC49" s="101">
        <f>'Base de Datos'!BW52</f>
        <v>0.6958415841584159</v>
      </c>
      <c r="CD49" s="101">
        <f>'Base de Datos'!BX52</f>
        <v>1.1489247311827955</v>
      </c>
      <c r="CE49" s="101">
        <f>'Base de Datos'!BY52</f>
        <v>0.60665362035225046</v>
      </c>
      <c r="CF49" s="101">
        <f>'Base de Datos'!BZ52</f>
        <v>2.7692307692307692</v>
      </c>
      <c r="CG49" s="101" t="e">
        <f>'Base de Datos'!CA52</f>
        <v>#DIV/0!</v>
      </c>
      <c r="CH49" s="101" t="e">
        <f>'Base de Datos'!CB52</f>
        <v>#DIV/0!</v>
      </c>
      <c r="CI49" s="57" t="e">
        <f t="shared" si="34"/>
        <v>#DIV/0!</v>
      </c>
      <c r="CK49" s="101">
        <f>'Base de Datos'!CE52</f>
        <v>0.86333333333333329</v>
      </c>
      <c r="CL49" s="101">
        <f>'Base de Datos'!CF52</f>
        <v>0.72877906976744189</v>
      </c>
      <c r="CM49" s="101">
        <f>'Base de Datos'!CG52</f>
        <v>0.77657992565055767</v>
      </c>
      <c r="CN49" s="101">
        <f>'Base de Datos'!CH52</f>
        <v>0.73291925465838503</v>
      </c>
      <c r="CO49" s="101" t="e">
        <f>'Base de Datos'!CI52</f>
        <v>#DIV/0!</v>
      </c>
      <c r="CP49" s="101" t="e">
        <f>'Base de Datos'!CJ52</f>
        <v>#DIV/0!</v>
      </c>
      <c r="CQ49" s="101" t="e">
        <f>'Base de Datos'!CK52</f>
        <v>#DIV/0!</v>
      </c>
      <c r="CR49" s="57" t="e">
        <f t="shared" si="35"/>
        <v>#DIV/0!</v>
      </c>
    </row>
    <row r="50" spans="2:96" ht="15.75" hidden="1" outlineLevel="1" x14ac:dyDescent="0.25">
      <c r="B50" s="110" t="s">
        <v>73</v>
      </c>
      <c r="C50" s="111" t="s">
        <v>65</v>
      </c>
      <c r="D50" s="113" t="s">
        <v>74</v>
      </c>
      <c r="E50" s="249"/>
      <c r="F50" s="97" t="str">
        <f>IF(BM50&gt;$E50,(BM50/$E50)-100%,"OK")</f>
        <v>OK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57">
        <f>AVERAGE(H50:N50)</f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>
        <v>0</v>
      </c>
      <c r="X50" s="57">
        <f>AVERAGE(Q50:W50)</f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57">
        <f>AVERAGE(Z50:AF50)</f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57">
        <f>AVERAGE(AI50:AO50)</f>
        <v>0</v>
      </c>
      <c r="AR50" s="101">
        <v>0</v>
      </c>
      <c r="AS50" s="101">
        <v>0</v>
      </c>
      <c r="AT50" s="101">
        <v>0</v>
      </c>
      <c r="AU50" s="101">
        <v>0</v>
      </c>
      <c r="AV50" s="101">
        <v>0</v>
      </c>
      <c r="AW50" s="101">
        <v>0</v>
      </c>
      <c r="AX50" s="101">
        <v>0</v>
      </c>
      <c r="AY50" s="57">
        <f>AVERAGE(AR50:AX50)</f>
        <v>0</v>
      </c>
      <c r="BA50" s="101">
        <v>0</v>
      </c>
      <c r="BB50" s="101">
        <v>0</v>
      </c>
      <c r="BC50" s="101">
        <v>0</v>
      </c>
      <c r="BD50" s="101">
        <v>0</v>
      </c>
      <c r="BE50" s="101">
        <v>0</v>
      </c>
      <c r="BF50" s="101">
        <v>0</v>
      </c>
      <c r="BG50" s="101">
        <v>0</v>
      </c>
      <c r="BH50" s="57">
        <f>AVERAGE(BA50:BG50)</f>
        <v>0</v>
      </c>
      <c r="BJ50" s="101">
        <v>0</v>
      </c>
      <c r="BK50" s="101">
        <v>0</v>
      </c>
      <c r="BL50" s="101">
        <v>0</v>
      </c>
      <c r="BM50" s="101">
        <v>0</v>
      </c>
      <c r="BN50" s="101">
        <v>0</v>
      </c>
      <c r="BO50" s="101">
        <v>0</v>
      </c>
      <c r="BP50" s="101">
        <v>0</v>
      </c>
      <c r="BQ50" s="57">
        <f>AVERAGE(BJ50:BP50)</f>
        <v>0</v>
      </c>
      <c r="BS50" s="101"/>
      <c r="BT50" s="101"/>
      <c r="BU50" s="101"/>
      <c r="BV50" s="101"/>
      <c r="BW50" s="101"/>
      <c r="BX50" s="101"/>
      <c r="BY50" s="101"/>
      <c r="BZ50" s="57" t="e">
        <f t="shared" si="33"/>
        <v>#DIV/0!</v>
      </c>
      <c r="CB50" s="101"/>
      <c r="CC50" s="101"/>
      <c r="CD50" s="101"/>
      <c r="CE50" s="101"/>
      <c r="CF50" s="101"/>
      <c r="CG50" s="101"/>
      <c r="CH50" s="101"/>
      <c r="CI50" s="57" t="e">
        <f t="shared" si="34"/>
        <v>#DIV/0!</v>
      </c>
      <c r="CK50" s="101"/>
      <c r="CL50" s="101"/>
      <c r="CM50" s="101"/>
      <c r="CN50" s="101"/>
      <c r="CO50" s="101"/>
      <c r="CP50" s="101"/>
      <c r="CQ50" s="101"/>
      <c r="CR50" s="57" t="e">
        <f t="shared" si="35"/>
        <v>#DIV/0!</v>
      </c>
    </row>
    <row r="51" spans="2:96" outlineLevel="1" x14ac:dyDescent="0.3">
      <c r="B51" s="110" t="s">
        <v>75</v>
      </c>
      <c r="C51" s="111" t="s">
        <v>68</v>
      </c>
      <c r="D51" s="111" t="s">
        <v>76</v>
      </c>
      <c r="E51" s="249"/>
      <c r="F51" s="97" t="s">
        <v>37</v>
      </c>
      <c r="H51" s="101">
        <v>6.6066066066066062E-2</v>
      </c>
      <c r="I51" s="101">
        <v>8.5927909831492025E-2</v>
      </c>
      <c r="J51" s="101">
        <v>0.11818181818181818</v>
      </c>
      <c r="K51" s="101">
        <v>0.37247706422018345</v>
      </c>
      <c r="L51" s="101">
        <v>0.16808510638297872</v>
      </c>
      <c r="M51" s="101" t="e">
        <v>#DIV/0!</v>
      </c>
      <c r="N51" s="101" t="e">
        <v>#DIV/0!</v>
      </c>
      <c r="O51" s="57" t="e">
        <f>AVERAGE(H51:N51)</f>
        <v>#DIV/0!</v>
      </c>
      <c r="Q51" s="101">
        <v>0.24166666666666667</v>
      </c>
      <c r="R51" s="101">
        <v>4.7487955953200274E-2</v>
      </c>
      <c r="S51" s="101">
        <v>0.22269676632092739</v>
      </c>
      <c r="T51" s="101">
        <v>0</v>
      </c>
      <c r="U51" s="101" t="e">
        <v>#DIV/0!</v>
      </c>
      <c r="V51" s="101" t="e">
        <v>#DIV/0!</v>
      </c>
      <c r="W51" s="101" t="e">
        <v>#DIV/0!</v>
      </c>
      <c r="X51" s="57" t="e">
        <f>AVERAGE(Q51:W51)</f>
        <v>#DIV/0!</v>
      </c>
      <c r="Z51" s="101" t="e">
        <v>#DIV/0!</v>
      </c>
      <c r="AA51" s="101">
        <v>0.31282051282051282</v>
      </c>
      <c r="AB51" s="101">
        <v>8.957055214723926E-2</v>
      </c>
      <c r="AC51" s="101">
        <v>0.37815126050420167</v>
      </c>
      <c r="AD51" s="101" t="e">
        <v>#DIV/0!</v>
      </c>
      <c r="AE51" s="101" t="e">
        <v>#DIV/0!</v>
      </c>
      <c r="AF51" s="101" t="e">
        <v>#DIV/0!</v>
      </c>
      <c r="AG51" s="57" t="e">
        <f>AVERAGE(Z51:AF51)</f>
        <v>#DIV/0!</v>
      </c>
      <c r="AI51" s="101">
        <v>6.9837447320891033E-2</v>
      </c>
      <c r="AJ51" s="101">
        <v>0.12151536812008579</v>
      </c>
      <c r="AK51" s="101">
        <v>1.5641421947449767</v>
      </c>
      <c r="AL51" s="101">
        <v>1.217857142857143</v>
      </c>
      <c r="AM51" s="101" t="e">
        <v>#DIV/0!</v>
      </c>
      <c r="AN51" s="101" t="e">
        <v>#DIV/0!</v>
      </c>
      <c r="AO51" s="101" t="e">
        <v>#DIV/0!</v>
      </c>
      <c r="AP51" s="57" t="e">
        <f>AVERAGE(AI51:AO51)</f>
        <v>#DIV/0!</v>
      </c>
      <c r="AR51" s="101" t="e">
        <v>#DIV/0!</v>
      </c>
      <c r="AS51" s="101">
        <v>1.6295454545454549</v>
      </c>
      <c r="AT51" s="101">
        <v>0.28875582168995345</v>
      </c>
      <c r="AU51" s="101">
        <v>143.76734693877552</v>
      </c>
      <c r="AV51" s="101" t="e">
        <v>#DIV/0!</v>
      </c>
      <c r="AW51" s="101" t="e">
        <v>#DIV/0!</v>
      </c>
      <c r="AX51" s="101" t="e">
        <v>#DIV/0!</v>
      </c>
      <c r="AY51" s="57" t="e">
        <f>AVERAGE(AR51:AX51)</f>
        <v>#DIV/0!</v>
      </c>
      <c r="BA51" s="101" t="e">
        <v>#DIV/0!</v>
      </c>
      <c r="BB51" s="101">
        <v>0.17811030921009072</v>
      </c>
      <c r="BC51" s="101">
        <v>0.10404040404040404</v>
      </c>
      <c r="BD51" s="101">
        <v>0.34244604316546762</v>
      </c>
      <c r="BE51" s="101">
        <v>1.1230769230769231</v>
      </c>
      <c r="BF51" s="101" t="e">
        <v>#DIV/0!</v>
      </c>
      <c r="BG51" s="101" t="e">
        <v>#DIV/0!</v>
      </c>
      <c r="BH51" s="57" t="e">
        <f>AVERAGE(BA51:BG51)</f>
        <v>#DIV/0!</v>
      </c>
      <c r="BJ51" s="101">
        <v>6.9178082191780829E-2</v>
      </c>
      <c r="BK51" s="101">
        <v>6.4848172928461151E-2</v>
      </c>
      <c r="BL51" s="101" t="e">
        <v>#DIV/0!</v>
      </c>
      <c r="BM51" s="101">
        <v>0.6313353900396651</v>
      </c>
      <c r="BN51" s="101" t="e">
        <v>#DIV/0!</v>
      </c>
      <c r="BO51" s="101" t="e">
        <v>#DIV/0!</v>
      </c>
      <c r="BP51" s="101" t="e">
        <v>#DIV/0!</v>
      </c>
      <c r="BQ51" s="57" t="e">
        <f>AVERAGE(BJ51:BP51)</f>
        <v>#DIV/0!</v>
      </c>
      <c r="BS51" s="101">
        <f>'Base de Datos'!BM49</f>
        <v>0.67826086956521747</v>
      </c>
      <c r="BT51" s="101">
        <f>'Base de Datos'!BN49</f>
        <v>0</v>
      </c>
      <c r="BU51" s="101">
        <f>'Base de Datos'!BO49</f>
        <v>0</v>
      </c>
      <c r="BV51" s="101">
        <f>'Base de Datos'!BP49</f>
        <v>0</v>
      </c>
      <c r="BW51" s="101">
        <f>'Base de Datos'!BQ49</f>
        <v>0</v>
      </c>
      <c r="BX51" s="101">
        <f>'Base de Datos'!BR49</f>
        <v>0</v>
      </c>
      <c r="BY51" s="101">
        <f>'Base de Datos'!BS49</f>
        <v>0</v>
      </c>
      <c r="BZ51" s="57">
        <f t="shared" si="33"/>
        <v>9.6894409937888212E-2</v>
      </c>
      <c r="CB51" s="101" t="e">
        <f>'Base de Datos'!BV49</f>
        <v>#DIV/0!</v>
      </c>
      <c r="CC51" s="101">
        <f>'Base de Datos'!BW49</f>
        <v>0</v>
      </c>
      <c r="CD51" s="101">
        <f>'Base de Datos'!BX49</f>
        <v>0</v>
      </c>
      <c r="CE51" s="101">
        <f>'Base de Datos'!BY49</f>
        <v>0</v>
      </c>
      <c r="CF51" s="101">
        <f>'Base de Datos'!BZ49</f>
        <v>0</v>
      </c>
      <c r="CG51" s="101">
        <f>'Base de Datos'!CA49</f>
        <v>0</v>
      </c>
      <c r="CH51" s="101">
        <f>'Base de Datos'!CB49</f>
        <v>0</v>
      </c>
      <c r="CI51" s="57" t="e">
        <f t="shared" si="34"/>
        <v>#DIV/0!</v>
      </c>
      <c r="CK51" s="101">
        <f>'Base de Datos'!CE49</f>
        <v>0.11643835616438356</v>
      </c>
      <c r="CL51" s="101">
        <f>'Base de Datos'!CF49</f>
        <v>0</v>
      </c>
      <c r="CM51" s="101">
        <f>'Base de Datos'!CG49</f>
        <v>0</v>
      </c>
      <c r="CN51" s="101">
        <f>'Base de Datos'!CH49</f>
        <v>0</v>
      </c>
      <c r="CO51" s="101">
        <f>'Base de Datos'!CI49</f>
        <v>0</v>
      </c>
      <c r="CP51" s="101">
        <f>'Base de Datos'!CJ49</f>
        <v>0</v>
      </c>
      <c r="CQ51" s="101" t="e">
        <f>'Base de Datos'!CK49</f>
        <v>#DIV/0!</v>
      </c>
      <c r="CR51" s="57" t="e">
        <f t="shared" si="35"/>
        <v>#DIV/0!</v>
      </c>
    </row>
    <row r="52" spans="2:96" ht="16.2" outlineLevel="1" thickBot="1" x14ac:dyDescent="0.35">
      <c r="B52" s="115" t="s">
        <v>77</v>
      </c>
      <c r="C52" s="116" t="s">
        <v>78</v>
      </c>
      <c r="D52" s="250"/>
      <c r="E52" s="251"/>
      <c r="F52" s="104" t="s">
        <v>37</v>
      </c>
      <c r="H52" s="103"/>
      <c r="I52" s="103"/>
      <c r="J52" s="103"/>
      <c r="K52" s="103"/>
      <c r="L52" s="103"/>
      <c r="M52" s="103"/>
      <c r="N52" s="103"/>
      <c r="O52" s="57"/>
      <c r="Q52" s="103"/>
      <c r="R52" s="103"/>
      <c r="S52" s="103"/>
      <c r="T52" s="103"/>
      <c r="U52" s="103"/>
      <c r="V52" s="103"/>
      <c r="W52" s="103"/>
      <c r="X52" s="57"/>
      <c r="Z52" s="103"/>
      <c r="AA52" s="103"/>
      <c r="AB52" s="103"/>
      <c r="AC52" s="103"/>
      <c r="AD52" s="103"/>
      <c r="AE52" s="103"/>
      <c r="AF52" s="103"/>
      <c r="AG52" s="57"/>
      <c r="AI52" s="103">
        <v>14.57</v>
      </c>
      <c r="AJ52" s="103">
        <v>20.32</v>
      </c>
      <c r="AK52" s="103">
        <v>10.5</v>
      </c>
      <c r="AL52" s="103">
        <v>5.18</v>
      </c>
      <c r="AM52" s="103"/>
      <c r="AN52" s="103"/>
      <c r="AO52" s="103"/>
      <c r="AP52" s="57"/>
      <c r="AR52" s="103">
        <v>0</v>
      </c>
      <c r="AS52" s="103">
        <v>15.83</v>
      </c>
      <c r="AT52" s="103">
        <v>18.829999999999998</v>
      </c>
      <c r="AU52" s="103">
        <v>20.18</v>
      </c>
      <c r="AV52" s="103">
        <v>1.92</v>
      </c>
      <c r="AW52" s="103">
        <v>0</v>
      </c>
      <c r="AX52" s="103">
        <v>0.28999999999999998</v>
      </c>
      <c r="AY52" s="57"/>
      <c r="BA52" s="103">
        <v>0.28999996185302734</v>
      </c>
      <c r="BB52" s="103">
        <v>15.87</v>
      </c>
      <c r="BC52" s="103">
        <v>17.329999999999998</v>
      </c>
      <c r="BD52" s="103">
        <v>16.399999999999999</v>
      </c>
      <c r="BE52" s="103">
        <v>11.12</v>
      </c>
      <c r="BF52" s="103">
        <v>1.62</v>
      </c>
      <c r="BG52" s="103">
        <v>1.3</v>
      </c>
      <c r="BH52" s="57"/>
      <c r="BJ52" s="103">
        <v>13.68</v>
      </c>
      <c r="BK52" s="103">
        <v>17.46</v>
      </c>
      <c r="BL52" s="103">
        <v>17.96</v>
      </c>
      <c r="BM52" s="103">
        <v>10.029999999999999</v>
      </c>
      <c r="BN52" s="103">
        <v>0</v>
      </c>
      <c r="BO52" s="103">
        <v>0</v>
      </c>
      <c r="BP52" s="103">
        <v>0.56999999999999995</v>
      </c>
      <c r="BQ52" s="57"/>
      <c r="BS52" s="105">
        <f>'Base de Datos'!BM46</f>
        <v>4.6100000000000003</v>
      </c>
      <c r="BT52" s="105">
        <f>'Base de Datos'!BN46</f>
        <v>5.08</v>
      </c>
      <c r="BU52" s="105">
        <f>'Base de Datos'!BO46</f>
        <v>5.25</v>
      </c>
      <c r="BV52" s="105">
        <f>'Base de Datos'!BP46</f>
        <v>4.87</v>
      </c>
      <c r="BW52" s="105">
        <f>'Base de Datos'!BQ46</f>
        <v>4.01</v>
      </c>
      <c r="BX52" s="105">
        <f>'Base de Datos'!BR46</f>
        <v>0.82</v>
      </c>
      <c r="BY52" s="105">
        <f>'Base de Datos'!BS46</f>
        <v>0.45</v>
      </c>
      <c r="BZ52" s="77"/>
      <c r="CB52" s="105">
        <f>'Base de Datos'!BV46</f>
        <v>0</v>
      </c>
      <c r="CC52" s="105">
        <f>'Base de Datos'!BW46</f>
        <v>0</v>
      </c>
      <c r="CD52" s="105">
        <f>'Base de Datos'!BX46</f>
        <v>5.2</v>
      </c>
      <c r="CE52" s="105">
        <f>'Base de Datos'!BY46</f>
        <v>5.35</v>
      </c>
      <c r="CF52" s="105">
        <f>'Base de Datos'!BZ46</f>
        <v>2.74</v>
      </c>
      <c r="CG52" s="105">
        <f>'Base de Datos'!CA46</f>
        <v>0</v>
      </c>
      <c r="CH52" s="105">
        <f>'Base de Datos'!CB46</f>
        <v>0.43</v>
      </c>
      <c r="CI52" s="77"/>
      <c r="CK52" s="105">
        <f>'Base de Datos'!CE46</f>
        <v>11.46</v>
      </c>
      <c r="CL52" s="105">
        <f>'Base de Datos'!CF46</f>
        <v>9.59</v>
      </c>
      <c r="CM52" s="105">
        <f>'Base de Datos'!CG46</f>
        <v>14.19</v>
      </c>
      <c r="CN52" s="105">
        <f>'Base de Datos'!CH46</f>
        <v>13.65</v>
      </c>
      <c r="CO52" s="105">
        <f>'Base de Datos'!CI46</f>
        <v>0.35</v>
      </c>
      <c r="CP52" s="105">
        <f>'Base de Datos'!CJ46</f>
        <v>0</v>
      </c>
      <c r="CQ52" s="105">
        <f>'Base de Datos'!CK46</f>
        <v>0</v>
      </c>
      <c r="CR52" s="77"/>
    </row>
    <row r="53" spans="2:96" ht="15.75" hidden="1" outlineLevel="1" x14ac:dyDescent="0.25">
      <c r="B53" s="110" t="s">
        <v>79</v>
      </c>
      <c r="C53" s="111" t="s">
        <v>80</v>
      </c>
      <c r="D53" s="113" t="s">
        <v>81</v>
      </c>
      <c r="E53" s="114"/>
      <c r="F53" s="97" t="e">
        <f>IF(BM53&gt;$E53,(BM53/$E53)-100%,"OK")</f>
        <v>#DIV/0!</v>
      </c>
      <c r="H53" s="103">
        <v>0.56999969482421875</v>
      </c>
      <c r="I53" s="103">
        <v>0.56999969482421875</v>
      </c>
      <c r="J53" s="103">
        <v>0.56999969482421875</v>
      </c>
      <c r="K53" s="103">
        <v>0.56999969482421875</v>
      </c>
      <c r="L53" s="103">
        <v>0.56999969482421875</v>
      </c>
      <c r="M53" s="103">
        <v>0.56999969482421875</v>
      </c>
      <c r="N53" s="103">
        <v>0.56999969482421875</v>
      </c>
      <c r="O53" s="57">
        <f>AVERAGE(H53:N53)</f>
        <v>0.56999969482421875</v>
      </c>
      <c r="Q53" s="103">
        <v>0.56999969482421875</v>
      </c>
      <c r="R53" s="103">
        <v>0.56999969482421875</v>
      </c>
      <c r="S53" s="103">
        <v>0.56999969482421875</v>
      </c>
      <c r="T53" s="103">
        <v>0.56999969482421875</v>
      </c>
      <c r="U53" s="103">
        <v>0.56999969482421875</v>
      </c>
      <c r="V53" s="103">
        <v>0.56999969482421875</v>
      </c>
      <c r="W53" s="103">
        <v>0.56999969482421875</v>
      </c>
      <c r="X53" s="57">
        <f>AVERAGE(Q53:W53)</f>
        <v>0.56999969482421875</v>
      </c>
      <c r="Z53" s="103">
        <v>0.56999969482421875</v>
      </c>
      <c r="AA53" s="103">
        <v>0.56999969482421875</v>
      </c>
      <c r="AB53" s="103">
        <v>0.56999969482421875</v>
      </c>
      <c r="AC53" s="103">
        <v>0.56999969482421875</v>
      </c>
      <c r="AD53" s="103">
        <v>0.56999969482421875</v>
      </c>
      <c r="AE53" s="103">
        <v>0</v>
      </c>
      <c r="AF53" s="103">
        <v>0.56999969482421875</v>
      </c>
      <c r="AG53" s="57">
        <f>AVERAGE(Z53:AF53)</f>
        <v>0.4885711669921875</v>
      </c>
      <c r="AI53" s="103">
        <v>0.56999969482421875</v>
      </c>
      <c r="AJ53" s="103">
        <v>0.56999969482421875</v>
      </c>
      <c r="AK53" s="103">
        <v>0.56999969482421875</v>
      </c>
      <c r="AL53" s="103">
        <v>0.56999969482421875</v>
      </c>
      <c r="AM53" s="103">
        <v>0</v>
      </c>
      <c r="AN53" s="103">
        <v>0.56999969482421875</v>
      </c>
      <c r="AO53" s="103">
        <v>0.56999969482421875</v>
      </c>
      <c r="AP53" s="57">
        <f>AVERAGE(AI53:AO53)</f>
        <v>0.4885711669921875</v>
      </c>
      <c r="AR53" s="103">
        <v>0.56999969482421875</v>
      </c>
      <c r="AS53" s="103">
        <v>0.56999969482421875</v>
      </c>
      <c r="AT53" s="103">
        <v>0.56999969482421875</v>
      </c>
      <c r="AU53" s="103">
        <v>0.56999969482421875</v>
      </c>
      <c r="AV53" s="103">
        <v>0.56999969482421875</v>
      </c>
      <c r="AW53" s="103">
        <v>0.56999969482421875</v>
      </c>
      <c r="AX53" s="103">
        <v>0.56999969482421875</v>
      </c>
      <c r="AY53" s="57">
        <f>AVERAGE(AR53:AX53)</f>
        <v>0.56999969482421875</v>
      </c>
      <c r="BA53" s="103">
        <v>0.56999969482421875</v>
      </c>
      <c r="BB53" s="103">
        <v>0.56999969482421875</v>
      </c>
      <c r="BC53" s="103">
        <v>0.56999969482421875</v>
      </c>
      <c r="BD53" s="103">
        <v>0.56999969482421875</v>
      </c>
      <c r="BE53" s="103">
        <v>0.56999969482421875</v>
      </c>
      <c r="BF53" s="103">
        <v>0.56999969482421875</v>
      </c>
      <c r="BG53" s="103">
        <v>0.56999969482421875</v>
      </c>
      <c r="BH53" s="57">
        <f>AVERAGE(BA53:BG53)</f>
        <v>0.56999969482421875</v>
      </c>
      <c r="BJ53" s="103">
        <v>0.56999969482421875</v>
      </c>
      <c r="BK53" s="103">
        <v>0.56999969482421875</v>
      </c>
      <c r="BL53" s="103">
        <v>0.56999969482421875</v>
      </c>
      <c r="BM53" s="103">
        <v>0.56999969482421875</v>
      </c>
      <c r="BN53" s="103">
        <v>0.56999969482421875</v>
      </c>
      <c r="BO53" s="103">
        <v>0.56999969482421875</v>
      </c>
      <c r="BP53" s="103">
        <v>0.56999969482421875</v>
      </c>
      <c r="BQ53" s="57">
        <f>AVERAGE(BJ53:BP53)</f>
        <v>0.56999969482421875</v>
      </c>
      <c r="BS53" s="252"/>
      <c r="BT53" s="252"/>
      <c r="BU53" s="252"/>
      <c r="BV53" s="252"/>
      <c r="BW53" s="252"/>
      <c r="BX53" s="252"/>
      <c r="BY53" s="252"/>
      <c r="BZ53" s="57" t="e">
        <f t="shared" ref="BZ53" si="36">AVERAGE(BS53:BY53)</f>
        <v>#DIV/0!</v>
      </c>
      <c r="CB53" s="252"/>
      <c r="CC53" s="252"/>
      <c r="CD53" s="252"/>
      <c r="CE53" s="252"/>
      <c r="CF53" s="252"/>
      <c r="CG53" s="252"/>
      <c r="CH53" s="252"/>
      <c r="CI53" s="57" t="e">
        <f t="shared" ref="CI53" si="37">AVERAGE(CB53:CH53)</f>
        <v>#DIV/0!</v>
      </c>
      <c r="CK53" s="252"/>
      <c r="CL53" s="252"/>
      <c r="CM53" s="252"/>
      <c r="CN53" s="252"/>
      <c r="CO53" s="252"/>
      <c r="CP53" s="252"/>
      <c r="CQ53" s="252"/>
      <c r="CR53" s="57" t="e">
        <f t="shared" ref="CR53" si="38">AVERAGE(CK53:CQ53)</f>
        <v>#DIV/0!</v>
      </c>
    </row>
    <row r="54" spans="2:96" ht="15" customHeight="1" outlineLevel="1" thickBot="1" x14ac:dyDescent="0.35">
      <c r="B54" s="118"/>
      <c r="E54" s="93"/>
      <c r="F54" s="82"/>
      <c r="H54" s="30"/>
      <c r="I54" s="30"/>
      <c r="J54" s="30"/>
      <c r="K54" s="30"/>
      <c r="L54" s="30"/>
      <c r="M54" s="30"/>
      <c r="N54" s="30"/>
      <c r="O54" s="30"/>
      <c r="Q54" s="30"/>
      <c r="R54" s="30"/>
      <c r="S54" s="30"/>
      <c r="T54" s="30"/>
      <c r="U54" s="30"/>
      <c r="V54" s="30"/>
      <c r="W54" s="30"/>
      <c r="X54" s="30"/>
      <c r="Z54" s="30"/>
      <c r="AA54" s="30"/>
      <c r="AB54" s="30"/>
      <c r="AC54" s="30"/>
      <c r="AD54" s="30"/>
      <c r="AE54" s="30"/>
      <c r="AF54" s="30"/>
      <c r="AG54" s="30"/>
      <c r="AI54" s="30"/>
      <c r="AJ54" s="30"/>
      <c r="AK54" s="30"/>
      <c r="AL54" s="30"/>
      <c r="AM54" s="30"/>
      <c r="AN54" s="30"/>
      <c r="AO54" s="30"/>
      <c r="AP54" s="30"/>
      <c r="AR54" s="30"/>
      <c r="AS54" s="30"/>
      <c r="AT54" s="30"/>
      <c r="AU54" s="30"/>
      <c r="AV54" s="30"/>
      <c r="AW54" s="30"/>
      <c r="AX54" s="30"/>
      <c r="AY54" s="30"/>
      <c r="AZ54" s="107"/>
      <c r="BA54" s="30"/>
      <c r="BB54" s="30"/>
      <c r="BC54" s="30"/>
      <c r="BD54" s="30"/>
      <c r="BE54" s="30"/>
      <c r="BF54" s="30"/>
      <c r="BG54" s="30"/>
      <c r="BH54" s="30"/>
      <c r="BJ54" s="30"/>
      <c r="BK54" s="30"/>
      <c r="BL54" s="30"/>
      <c r="BM54" s="30"/>
      <c r="BN54" s="30"/>
      <c r="BO54" s="30"/>
      <c r="BP54" s="30"/>
      <c r="BQ54" s="30"/>
      <c r="BS54" s="30"/>
      <c r="BT54" s="30"/>
      <c r="BU54" s="30"/>
      <c r="BV54" s="30"/>
      <c r="BW54" s="30"/>
      <c r="BX54" s="30"/>
      <c r="BY54" s="30"/>
      <c r="BZ54" s="30"/>
      <c r="CB54" s="30"/>
      <c r="CC54" s="30"/>
      <c r="CD54" s="30"/>
      <c r="CE54" s="30"/>
      <c r="CF54" s="30"/>
      <c r="CG54" s="30"/>
      <c r="CH54" s="30"/>
      <c r="CI54" s="30"/>
      <c r="CK54" s="30"/>
      <c r="CL54" s="30"/>
      <c r="CM54" s="30"/>
      <c r="CN54" s="30"/>
      <c r="CO54" s="30"/>
      <c r="CP54" s="30"/>
      <c r="CQ54" s="30"/>
      <c r="CR54" s="30"/>
    </row>
    <row r="55" spans="2:96" ht="15" customHeight="1" outlineLevel="1" thickBot="1" x14ac:dyDescent="0.35">
      <c r="B55" s="945" t="s">
        <v>82</v>
      </c>
      <c r="C55" s="946"/>
      <c r="D55" s="946"/>
      <c r="E55" s="946"/>
      <c r="F55" s="947"/>
      <c r="H55" s="896"/>
      <c r="I55" s="897"/>
      <c r="J55" s="897"/>
      <c r="K55" s="897"/>
      <c r="L55" s="897"/>
      <c r="M55" s="897"/>
      <c r="N55" s="897"/>
      <c r="O55" s="868"/>
      <c r="Q55" s="896"/>
      <c r="R55" s="897"/>
      <c r="S55" s="897"/>
      <c r="T55" s="897"/>
      <c r="U55" s="897"/>
      <c r="V55" s="897"/>
      <c r="W55" s="897"/>
      <c r="X55" s="868"/>
      <c r="Z55" s="896"/>
      <c r="AA55" s="897"/>
      <c r="AB55" s="897"/>
      <c r="AC55" s="897"/>
      <c r="AD55" s="897"/>
      <c r="AE55" s="897"/>
      <c r="AF55" s="897"/>
      <c r="AG55" s="868"/>
      <c r="AI55" s="896"/>
      <c r="AJ55" s="897"/>
      <c r="AK55" s="897"/>
      <c r="AL55" s="897"/>
      <c r="AM55" s="897"/>
      <c r="AN55" s="897"/>
      <c r="AO55" s="897"/>
      <c r="AP55" s="868"/>
      <c r="AR55" s="896"/>
      <c r="AS55" s="897"/>
      <c r="AT55" s="897"/>
      <c r="AU55" s="897"/>
      <c r="AV55" s="897"/>
      <c r="AW55" s="897"/>
      <c r="AX55" s="897"/>
      <c r="AY55" s="868"/>
      <c r="AZ55" s="107"/>
      <c r="BA55" s="896"/>
      <c r="BB55" s="897"/>
      <c r="BC55" s="897"/>
      <c r="BD55" s="897"/>
      <c r="BE55" s="897"/>
      <c r="BF55" s="897"/>
      <c r="BG55" s="897"/>
      <c r="BH55" s="868"/>
      <c r="BJ55" s="896"/>
      <c r="BK55" s="897"/>
      <c r="BL55" s="897"/>
      <c r="BM55" s="897"/>
      <c r="BN55" s="897"/>
      <c r="BO55" s="897"/>
      <c r="BP55" s="897"/>
      <c r="BQ55" s="868"/>
      <c r="BS55" s="896"/>
      <c r="BT55" s="897"/>
      <c r="BU55" s="897"/>
      <c r="BV55" s="897"/>
      <c r="BW55" s="897"/>
      <c r="BX55" s="897"/>
      <c r="BY55" s="897"/>
      <c r="BZ55" s="868"/>
      <c r="CB55" s="896"/>
      <c r="CC55" s="897"/>
      <c r="CD55" s="897"/>
      <c r="CE55" s="897"/>
      <c r="CF55" s="897"/>
      <c r="CG55" s="897"/>
      <c r="CH55" s="897"/>
      <c r="CI55" s="868"/>
      <c r="CK55" s="896"/>
      <c r="CL55" s="897"/>
      <c r="CM55" s="897"/>
      <c r="CN55" s="897"/>
      <c r="CO55" s="897"/>
      <c r="CP55" s="897"/>
      <c r="CQ55" s="897"/>
      <c r="CR55" s="868"/>
    </row>
    <row r="56" spans="2:96" ht="15" customHeight="1" outlineLevel="1" x14ac:dyDescent="0.3">
      <c r="B56" s="119" t="s">
        <v>83</v>
      </c>
      <c r="C56" s="120" t="s">
        <v>26</v>
      </c>
      <c r="D56" s="121" t="s">
        <v>84</v>
      </c>
      <c r="E56" s="262">
        <v>80186</v>
      </c>
      <c r="F56" s="97" t="s">
        <v>37</v>
      </c>
      <c r="H56" s="122">
        <v>0</v>
      </c>
      <c r="I56" s="123">
        <v>0</v>
      </c>
      <c r="J56" s="123">
        <v>97244</v>
      </c>
      <c r="K56" s="123">
        <v>96252</v>
      </c>
      <c r="L56" s="123">
        <v>94800</v>
      </c>
      <c r="M56" s="123">
        <v>95368</v>
      </c>
      <c r="N56" s="124">
        <v>99916</v>
      </c>
      <c r="O56" s="125">
        <f>SUM(H56:N56)</f>
        <v>483580</v>
      </c>
      <c r="Q56" s="122">
        <v>97060</v>
      </c>
      <c r="R56" s="123">
        <v>152</v>
      </c>
      <c r="S56" s="123">
        <v>151.22999999999999</v>
      </c>
      <c r="T56" s="123">
        <v>150.44999999999999</v>
      </c>
      <c r="U56" s="123">
        <v>157.4</v>
      </c>
      <c r="V56" s="123">
        <v>158.58000000000001</v>
      </c>
      <c r="W56" s="124">
        <v>161.19999999999999</v>
      </c>
      <c r="X56" s="125">
        <f>SUM(Q56:W56)</f>
        <v>97990.859999999986</v>
      </c>
      <c r="Z56" s="122">
        <v>165.25</v>
      </c>
      <c r="AA56" s="123">
        <v>162.66</v>
      </c>
      <c r="AB56" s="123">
        <v>153.43</v>
      </c>
      <c r="AC56" s="123">
        <v>138.97999999999999</v>
      </c>
      <c r="AD56" s="123">
        <v>142.81</v>
      </c>
      <c r="AE56" s="123">
        <v>143.44999999999999</v>
      </c>
      <c r="AF56" s="124">
        <v>132.02000000000001</v>
      </c>
      <c r="AG56" s="125">
        <f>SUM(Z56:AF56)</f>
        <v>1038.5999999999999</v>
      </c>
      <c r="AI56" s="122">
        <v>131.03</v>
      </c>
      <c r="AJ56" s="123">
        <v>131.77000000000001</v>
      </c>
      <c r="AK56" s="123">
        <v>140.1</v>
      </c>
      <c r="AL56" s="123">
        <v>142.96</v>
      </c>
      <c r="AM56" s="123">
        <v>150.16999999999999</v>
      </c>
      <c r="AN56" s="123">
        <v>144.47999999999999</v>
      </c>
      <c r="AO56" s="124">
        <v>143.57</v>
      </c>
      <c r="AP56" s="125">
        <f>SUM(AI56:AO56)</f>
        <v>984.07999999999993</v>
      </c>
      <c r="AR56" s="122">
        <v>135.34</v>
      </c>
      <c r="AS56" s="123">
        <v>140.94999999999999</v>
      </c>
      <c r="AT56" s="123">
        <v>102.84</v>
      </c>
      <c r="AU56" s="123"/>
      <c r="AV56" s="123">
        <v>354.37</v>
      </c>
      <c r="AW56" s="123">
        <v>141.66999999999999</v>
      </c>
      <c r="AX56" s="124">
        <v>135.78</v>
      </c>
      <c r="AY56" s="125">
        <f>SUM(AR56:AX56)</f>
        <v>1010.9499999999999</v>
      </c>
      <c r="AZ56" s="107"/>
      <c r="BA56" s="122">
        <v>94.74</v>
      </c>
      <c r="BB56" s="123">
        <v>149</v>
      </c>
      <c r="BC56" s="123">
        <v>150.65</v>
      </c>
      <c r="BD56" s="123">
        <v>144.08000000000001</v>
      </c>
      <c r="BE56" s="123">
        <v>153.09</v>
      </c>
      <c r="BF56" s="123">
        <v>143.57</v>
      </c>
      <c r="BG56" s="124">
        <v>134.94</v>
      </c>
      <c r="BH56" s="125">
        <f>SUM(BA56:BG56)</f>
        <v>970.07000000000016</v>
      </c>
      <c r="BJ56" s="122">
        <v>139.84</v>
      </c>
      <c r="BK56" s="123">
        <v>142.38999999999999</v>
      </c>
      <c r="BL56" s="123">
        <v>151.91</v>
      </c>
      <c r="BM56" s="123">
        <v>148.54</v>
      </c>
      <c r="BN56" s="123">
        <v>150.76</v>
      </c>
      <c r="BO56" s="123">
        <v>141.56</v>
      </c>
      <c r="BP56" s="126">
        <v>135.26</v>
      </c>
      <c r="BQ56" s="36">
        <f>SUM(BJ56:BP56)</f>
        <v>1010.26</v>
      </c>
      <c r="BS56" s="122">
        <v>139.62</v>
      </c>
      <c r="BT56" s="123">
        <v>141.25</v>
      </c>
      <c r="BU56" s="123">
        <v>141.24</v>
      </c>
      <c r="BV56" s="123">
        <v>140.94999999999999</v>
      </c>
      <c r="BW56" s="123">
        <v>148.55000000000001</v>
      </c>
      <c r="BX56" s="123">
        <v>139.53</v>
      </c>
      <c r="BY56" s="124">
        <v>126.7</v>
      </c>
      <c r="BZ56" s="125">
        <f t="shared" ref="BZ56:BZ59" si="39">SUM(BS56:BY56)</f>
        <v>977.83999999999992</v>
      </c>
      <c r="CB56" s="122">
        <v>63.4</v>
      </c>
      <c r="CC56" s="123">
        <v>0</v>
      </c>
      <c r="CD56" s="123">
        <v>140</v>
      </c>
      <c r="CE56" s="123">
        <v>151.13</v>
      </c>
      <c r="CF56" s="123">
        <v>149.97999999999999</v>
      </c>
      <c r="CG56" s="123">
        <v>135.33000000000001</v>
      </c>
      <c r="CH56" s="124">
        <v>54.53</v>
      </c>
      <c r="CI56" s="125">
        <f t="shared" ref="CI56:CI59" si="40">SUM(CB56:CH56)</f>
        <v>694.37</v>
      </c>
      <c r="CK56" s="122">
        <v>0</v>
      </c>
      <c r="CL56" s="123">
        <v>362.14</v>
      </c>
      <c r="CM56" s="463">
        <v>362.14</v>
      </c>
      <c r="CN56" s="123"/>
      <c r="CO56" s="123"/>
      <c r="CP56" s="123"/>
      <c r="CQ56" s="126"/>
      <c r="CR56" s="36">
        <f t="shared" ref="CR56:CR59" si="41">SUM(CK56:CQ56)</f>
        <v>724.28</v>
      </c>
    </row>
    <row r="57" spans="2:96" ht="15" customHeight="1" outlineLevel="1" x14ac:dyDescent="0.3">
      <c r="B57" s="119" t="s">
        <v>27</v>
      </c>
      <c r="C57" s="120" t="s">
        <v>28</v>
      </c>
      <c r="D57" s="120" t="s">
        <v>85</v>
      </c>
      <c r="E57" s="262">
        <v>8790.0375094339615</v>
      </c>
      <c r="F57" s="97" t="s">
        <v>37</v>
      </c>
      <c r="H57" s="101">
        <v>11081</v>
      </c>
      <c r="I57" s="102">
        <v>11526</v>
      </c>
      <c r="J57" s="102">
        <v>9371.9</v>
      </c>
      <c r="K57" s="102">
        <v>8586</v>
      </c>
      <c r="L57" s="102">
        <v>5052</v>
      </c>
      <c r="M57" s="102">
        <v>1736</v>
      </c>
      <c r="N57" s="127">
        <v>1395</v>
      </c>
      <c r="O57" s="128">
        <f>SUM(H57:N57)</f>
        <v>48747.9</v>
      </c>
      <c r="Q57" s="101">
        <v>9496</v>
      </c>
      <c r="R57" s="102">
        <v>8800</v>
      </c>
      <c r="S57" s="102">
        <v>8626</v>
      </c>
      <c r="T57" s="102">
        <v>8748</v>
      </c>
      <c r="U57" s="102">
        <v>4643</v>
      </c>
      <c r="V57" s="102">
        <v>1842</v>
      </c>
      <c r="W57" s="127">
        <v>1374</v>
      </c>
      <c r="X57" s="128">
        <f>SUM(Q57:W57)</f>
        <v>43529</v>
      </c>
      <c r="Z57" s="101">
        <v>8363</v>
      </c>
      <c r="AA57" s="102">
        <v>11468</v>
      </c>
      <c r="AB57" s="102">
        <v>10209</v>
      </c>
      <c r="AC57" s="102">
        <v>8826</v>
      </c>
      <c r="AD57" s="102">
        <v>7139</v>
      </c>
      <c r="AE57" s="102">
        <v>1118</v>
      </c>
      <c r="AF57" s="127">
        <v>1554</v>
      </c>
      <c r="AG57" s="128">
        <f>SUM(Z57:AF57)</f>
        <v>48677</v>
      </c>
      <c r="AI57" s="101">
        <v>10541</v>
      </c>
      <c r="AJ57" s="102">
        <v>9420</v>
      </c>
      <c r="AK57" s="102">
        <v>10352</v>
      </c>
      <c r="AL57" s="102">
        <v>7206</v>
      </c>
      <c r="AM57" s="102"/>
      <c r="AN57" s="102"/>
      <c r="AO57" s="127"/>
      <c r="AP57" s="128">
        <f>SUM(AI57:AO57)</f>
        <v>37519</v>
      </c>
      <c r="AR57" s="101"/>
      <c r="AS57" s="102">
        <v>11139</v>
      </c>
      <c r="AT57" s="102">
        <v>10561</v>
      </c>
      <c r="AU57" s="102">
        <v>12066</v>
      </c>
      <c r="AV57" s="102">
        <v>3862</v>
      </c>
      <c r="AW57" s="102">
        <v>1606</v>
      </c>
      <c r="AX57" s="127">
        <v>1049</v>
      </c>
      <c r="AY57" s="128">
        <f>SUM(AR57:AX57)</f>
        <v>40283</v>
      </c>
      <c r="AZ57" s="107"/>
      <c r="BA57" s="101">
        <v>8168</v>
      </c>
      <c r="BB57" s="102">
        <v>9204</v>
      </c>
      <c r="BC57" s="102">
        <v>10996</v>
      </c>
      <c r="BD57" s="102">
        <v>10768</v>
      </c>
      <c r="BE57" s="102">
        <v>4214</v>
      </c>
      <c r="BF57" s="102">
        <v>1170</v>
      </c>
      <c r="BG57" s="127">
        <v>870</v>
      </c>
      <c r="BH57" s="128">
        <f>SUM(BA57:BG57)</f>
        <v>45390</v>
      </c>
      <c r="BJ57" s="101">
        <v>9407</v>
      </c>
      <c r="BK57" s="102">
        <v>9073.1</v>
      </c>
      <c r="BL57" s="102">
        <v>9153</v>
      </c>
      <c r="BM57" s="102">
        <v>8953</v>
      </c>
      <c r="BN57" s="102">
        <v>4765</v>
      </c>
      <c r="BO57" s="102">
        <v>2025</v>
      </c>
      <c r="BP57" s="129">
        <v>501</v>
      </c>
      <c r="BQ57" s="40">
        <f>SUM(BJ57:BP57)</f>
        <v>43877.1</v>
      </c>
      <c r="BS57" s="101">
        <v>8143</v>
      </c>
      <c r="BT57" s="102">
        <v>7080</v>
      </c>
      <c r="BU57" s="102">
        <v>12323</v>
      </c>
      <c r="BV57" s="102">
        <v>9587</v>
      </c>
      <c r="BW57" s="102">
        <v>4199</v>
      </c>
      <c r="BX57" s="102">
        <v>2757</v>
      </c>
      <c r="BY57" s="127">
        <v>600.6</v>
      </c>
      <c r="BZ57" s="128">
        <f t="shared" si="39"/>
        <v>44689.599999999999</v>
      </c>
      <c r="CB57" s="101">
        <v>10208</v>
      </c>
      <c r="CC57" s="102">
        <v>8834</v>
      </c>
      <c r="CD57" s="102">
        <v>6241</v>
      </c>
      <c r="CE57" s="102">
        <v>8752</v>
      </c>
      <c r="CF57" s="102">
        <v>4392</v>
      </c>
      <c r="CG57" s="102">
        <v>208</v>
      </c>
      <c r="CH57" s="127">
        <v>371.5</v>
      </c>
      <c r="CI57" s="128">
        <f t="shared" si="40"/>
        <v>39006.5</v>
      </c>
      <c r="CK57" s="101">
        <v>8506</v>
      </c>
      <c r="CL57" s="102">
        <v>6318</v>
      </c>
      <c r="CM57" s="464">
        <v>6318</v>
      </c>
      <c r="CN57" s="102"/>
      <c r="CO57" s="102"/>
      <c r="CP57" s="102"/>
      <c r="CQ57" s="129"/>
      <c r="CR57" s="40">
        <f t="shared" si="41"/>
        <v>21142</v>
      </c>
    </row>
    <row r="58" spans="2:96" ht="15" customHeight="1" outlineLevel="1" x14ac:dyDescent="0.3">
      <c r="B58" s="119" t="s">
        <v>29</v>
      </c>
      <c r="C58" s="120" t="s">
        <v>30</v>
      </c>
      <c r="D58" s="120" t="s">
        <v>86</v>
      </c>
      <c r="E58" s="262">
        <v>98</v>
      </c>
      <c r="F58" s="97" t="s">
        <v>37</v>
      </c>
      <c r="H58" s="101">
        <v>114.26</v>
      </c>
      <c r="I58" s="102">
        <v>109.28</v>
      </c>
      <c r="J58" s="102">
        <v>94.49</v>
      </c>
      <c r="K58" s="102">
        <v>106.33</v>
      </c>
      <c r="L58" s="102">
        <v>53.15</v>
      </c>
      <c r="M58" s="102">
        <v>19.52</v>
      </c>
      <c r="N58" s="127">
        <v>22.69</v>
      </c>
      <c r="O58" s="128">
        <f>SUM(H58:N58)</f>
        <v>519.72</v>
      </c>
      <c r="Q58" s="101">
        <v>85.19</v>
      </c>
      <c r="R58" s="102">
        <v>91.41</v>
      </c>
      <c r="S58" s="102">
        <v>83.35</v>
      </c>
      <c r="T58" s="102">
        <v>117.35</v>
      </c>
      <c r="U58" s="102">
        <v>64.959999999999994</v>
      </c>
      <c r="V58" s="102">
        <v>22.92</v>
      </c>
      <c r="W58" s="127">
        <v>17.87</v>
      </c>
      <c r="X58" s="128">
        <f>SUM(Q58:W58)</f>
        <v>483.04999999999995</v>
      </c>
      <c r="Z58" s="101">
        <v>84.28</v>
      </c>
      <c r="AA58" s="102">
        <v>106.71</v>
      </c>
      <c r="AB58" s="102">
        <v>91.99</v>
      </c>
      <c r="AC58" s="102">
        <v>101.25</v>
      </c>
      <c r="AD58" s="102">
        <v>77.42</v>
      </c>
      <c r="AE58" s="102">
        <v>18.260000000000002</v>
      </c>
      <c r="AF58" s="127">
        <v>14.35</v>
      </c>
      <c r="AG58" s="128">
        <f>SUM(Z58:AF58)</f>
        <v>494.26000000000005</v>
      </c>
      <c r="AI58" s="101">
        <v>107.24</v>
      </c>
      <c r="AJ58" s="102">
        <v>95.19</v>
      </c>
      <c r="AK58" s="102">
        <v>109.48</v>
      </c>
      <c r="AL58" s="102">
        <v>64.23</v>
      </c>
      <c r="AM58" s="102">
        <v>21.81</v>
      </c>
      <c r="AN58" s="102">
        <v>29.97</v>
      </c>
      <c r="AO58" s="127">
        <v>6.69</v>
      </c>
      <c r="AP58" s="128">
        <f>SUM(AI58:AO58)</f>
        <v>434.61000000000007</v>
      </c>
      <c r="AR58" s="101">
        <v>4.4400000000000004</v>
      </c>
      <c r="AS58" s="102">
        <v>114.94</v>
      </c>
      <c r="AT58" s="102">
        <v>101.34</v>
      </c>
      <c r="AU58" s="102">
        <v>112.29</v>
      </c>
      <c r="AV58" s="102">
        <v>35.380000000000003</v>
      </c>
      <c r="AW58" s="102">
        <v>17.12</v>
      </c>
      <c r="AX58" s="127">
        <v>16.329999999999998</v>
      </c>
      <c r="AY58" s="128">
        <f>SUM(AR58:AX58)</f>
        <v>401.84</v>
      </c>
      <c r="AZ58" s="107"/>
      <c r="BA58" s="101">
        <v>58</v>
      </c>
      <c r="BB58" s="102">
        <v>101.63</v>
      </c>
      <c r="BC58" s="102">
        <v>99.87</v>
      </c>
      <c r="BD58" s="102">
        <v>82.55</v>
      </c>
      <c r="BE58" s="102">
        <v>39.380000000000003</v>
      </c>
      <c r="BF58" s="102">
        <v>10.210000000000001</v>
      </c>
      <c r="BG58" s="127">
        <v>15.12</v>
      </c>
      <c r="BH58" s="128">
        <f>SUM(BA58:BG58)</f>
        <v>406.76</v>
      </c>
      <c r="BJ58" s="101">
        <v>91.35</v>
      </c>
      <c r="BK58" s="102">
        <v>89.22</v>
      </c>
      <c r="BL58" s="102">
        <v>76.319999999999993</v>
      </c>
      <c r="BM58" s="102">
        <v>86.4</v>
      </c>
      <c r="BN58" s="102">
        <v>28.46</v>
      </c>
      <c r="BO58" s="102">
        <v>4.83</v>
      </c>
      <c r="BP58" s="129">
        <v>5.26</v>
      </c>
      <c r="BQ58" s="40">
        <f>SUM(BJ58:BP58)</f>
        <v>381.83999999999992</v>
      </c>
      <c r="BS58" s="101">
        <v>94.29</v>
      </c>
      <c r="BT58" s="102">
        <v>82.06</v>
      </c>
      <c r="BU58" s="102">
        <v>107.37</v>
      </c>
      <c r="BV58" s="102">
        <v>80.260000000000005</v>
      </c>
      <c r="BW58" s="102">
        <v>58.67</v>
      </c>
      <c r="BX58" s="102">
        <v>16.920000000000002</v>
      </c>
      <c r="BY58" s="127">
        <v>11.95</v>
      </c>
      <c r="BZ58" s="128">
        <f t="shared" si="39"/>
        <v>451.52000000000004</v>
      </c>
      <c r="CB58" s="101">
        <v>98.17</v>
      </c>
      <c r="CC58" s="102">
        <v>86.72</v>
      </c>
      <c r="CD58" s="102">
        <v>68.64</v>
      </c>
      <c r="CE58" s="102">
        <v>81.92</v>
      </c>
      <c r="CF58" s="102">
        <v>37.25</v>
      </c>
      <c r="CG58" s="102">
        <v>1.91</v>
      </c>
      <c r="CH58" s="127">
        <v>4.78</v>
      </c>
      <c r="CI58" s="128">
        <f t="shared" si="40"/>
        <v>379.39</v>
      </c>
      <c r="CK58" s="101">
        <v>85.88</v>
      </c>
      <c r="CL58" s="102">
        <v>65.42</v>
      </c>
      <c r="CM58" s="102"/>
      <c r="CN58" s="102"/>
      <c r="CO58" s="102"/>
      <c r="CP58" s="102"/>
      <c r="CQ58" s="129"/>
      <c r="CR58" s="40">
        <f t="shared" si="41"/>
        <v>151.30000000000001</v>
      </c>
    </row>
    <row r="59" spans="2:96" ht="15" customHeight="1" outlineLevel="1" x14ac:dyDescent="0.3">
      <c r="B59" s="119" t="s">
        <v>87</v>
      </c>
      <c r="C59" s="120" t="s">
        <v>88</v>
      </c>
      <c r="D59" s="120" t="s">
        <v>89</v>
      </c>
      <c r="E59" s="262">
        <v>89.611446487650952</v>
      </c>
      <c r="F59" s="97" t="s">
        <v>37</v>
      </c>
      <c r="H59" s="101">
        <v>113.55</v>
      </c>
      <c r="I59" s="102">
        <v>117.39</v>
      </c>
      <c r="J59" s="102">
        <v>92.83</v>
      </c>
      <c r="K59" s="102">
        <v>86.17</v>
      </c>
      <c r="L59" s="102">
        <v>53.86</v>
      </c>
      <c r="M59" s="102">
        <v>18.079999999999998</v>
      </c>
      <c r="N59" s="127">
        <v>15.11</v>
      </c>
      <c r="O59" s="128">
        <f>SUM(H59:N59)</f>
        <v>496.99</v>
      </c>
      <c r="Q59" s="101">
        <v>99.64</v>
      </c>
      <c r="R59" s="102">
        <v>85.3</v>
      </c>
      <c r="S59" s="102">
        <v>85.77</v>
      </c>
      <c r="T59" s="102">
        <v>84.08</v>
      </c>
      <c r="U59" s="102">
        <v>49.86</v>
      </c>
      <c r="V59" s="102">
        <v>15.02</v>
      </c>
      <c r="W59" s="127">
        <v>14.64</v>
      </c>
      <c r="X59" s="128">
        <f>SUM(Q59:W59)</f>
        <v>434.30999999999995</v>
      </c>
      <c r="Z59" s="101">
        <v>93.64</v>
      </c>
      <c r="AA59" s="102">
        <v>120.63</v>
      </c>
      <c r="AB59" s="102">
        <v>104.3</v>
      </c>
      <c r="AC59" s="102">
        <v>90.05</v>
      </c>
      <c r="AD59" s="102">
        <v>78.55</v>
      </c>
      <c r="AE59" s="102">
        <v>11.14</v>
      </c>
      <c r="AF59" s="127">
        <v>13.75</v>
      </c>
      <c r="AG59" s="128">
        <f>SUM(Z59:AF59)</f>
        <v>512.05999999999995</v>
      </c>
      <c r="AI59" s="101">
        <v>106.61</v>
      </c>
      <c r="AJ59" s="102">
        <v>96.88</v>
      </c>
      <c r="AK59" s="102">
        <v>112.88</v>
      </c>
      <c r="AL59" s="102">
        <v>82.47</v>
      </c>
      <c r="AM59" s="102">
        <v>45.31</v>
      </c>
      <c r="AN59" s="102">
        <v>19.559999999999999</v>
      </c>
      <c r="AO59" s="127">
        <v>6.8</v>
      </c>
      <c r="AP59" s="128">
        <f>SUM(AI59:AO59)</f>
        <v>470.51000000000005</v>
      </c>
      <c r="AR59" s="101">
        <v>4.55</v>
      </c>
      <c r="AS59" s="102">
        <v>110.02</v>
      </c>
      <c r="AT59" s="102">
        <v>115.28</v>
      </c>
      <c r="AU59" s="102">
        <v>119.44</v>
      </c>
      <c r="AV59" s="102">
        <v>40.42</v>
      </c>
      <c r="AW59" s="102">
        <v>14.23</v>
      </c>
      <c r="AX59" s="127">
        <v>9.8800000000000008</v>
      </c>
      <c r="AY59" s="128">
        <f>SUM(AR59:AX59)</f>
        <v>413.82</v>
      </c>
      <c r="AZ59" s="107"/>
      <c r="BA59" s="101">
        <v>54.81</v>
      </c>
      <c r="BB59" s="102">
        <v>93.27</v>
      </c>
      <c r="BC59" s="102">
        <v>110.47</v>
      </c>
      <c r="BD59" s="102">
        <v>98.86</v>
      </c>
      <c r="BE59" s="102">
        <v>46.08</v>
      </c>
      <c r="BF59" s="102">
        <v>13.3</v>
      </c>
      <c r="BG59" s="127">
        <v>8.19</v>
      </c>
      <c r="BH59" s="128">
        <f>SUM(BA59:BG59)</f>
        <v>424.97999999999996</v>
      </c>
      <c r="BJ59" s="101">
        <v>96.19</v>
      </c>
      <c r="BK59" s="102">
        <v>91.09</v>
      </c>
      <c r="BL59" s="102">
        <v>93.03</v>
      </c>
      <c r="BM59" s="102">
        <v>96.5</v>
      </c>
      <c r="BN59" s="102">
        <v>56.27</v>
      </c>
      <c r="BO59" s="102">
        <v>20.420000000000002</v>
      </c>
      <c r="BP59" s="129">
        <v>5.38</v>
      </c>
      <c r="BQ59" s="40">
        <f>SUM(BJ59:BP59)</f>
        <v>458.88</v>
      </c>
      <c r="BS59" s="101">
        <v>98.03</v>
      </c>
      <c r="BT59" s="102">
        <v>80.44</v>
      </c>
      <c r="BU59" s="102">
        <v>137.84</v>
      </c>
      <c r="BV59" s="102">
        <v>108.56</v>
      </c>
      <c r="BW59" s="102">
        <v>52.97</v>
      </c>
      <c r="BX59" s="102">
        <v>27.56</v>
      </c>
      <c r="BY59" s="127">
        <v>5.55</v>
      </c>
      <c r="BZ59" s="128">
        <f t="shared" si="39"/>
        <v>510.95000000000005</v>
      </c>
      <c r="CB59" s="101">
        <v>68</v>
      </c>
      <c r="CC59" s="102">
        <v>86.78</v>
      </c>
      <c r="CD59" s="102">
        <v>69.92</v>
      </c>
      <c r="CE59" s="102">
        <v>101.17</v>
      </c>
      <c r="CF59" s="102">
        <v>44.89</v>
      </c>
      <c r="CG59" s="102">
        <v>1</v>
      </c>
      <c r="CH59" s="127">
        <v>3.75</v>
      </c>
      <c r="CI59" s="128">
        <f t="shared" si="40"/>
        <v>375.51</v>
      </c>
      <c r="CK59" s="101">
        <v>83.94</v>
      </c>
      <c r="CL59" s="102">
        <v>61.44</v>
      </c>
      <c r="CM59" s="102">
        <v>95.7</v>
      </c>
      <c r="CN59" s="102"/>
      <c r="CO59" s="102"/>
      <c r="CP59" s="102"/>
      <c r="CQ59" s="129"/>
      <c r="CR59" s="40">
        <f t="shared" si="41"/>
        <v>241.07999999999998</v>
      </c>
    </row>
    <row r="60" spans="2:96" ht="15" customHeight="1" outlineLevel="1" thickBot="1" x14ac:dyDescent="0.35">
      <c r="B60" s="263" t="s">
        <v>90</v>
      </c>
      <c r="C60" s="264" t="s">
        <v>91</v>
      </c>
      <c r="D60" s="264"/>
      <c r="E60" s="117">
        <v>89.628</v>
      </c>
      <c r="F60" s="104" t="s">
        <v>37</v>
      </c>
      <c r="H60" s="101">
        <f t="shared" ref="H60:N60" si="42">H57/H59</f>
        <v>97.586966094231613</v>
      </c>
      <c r="I60" s="102">
        <f t="shared" si="42"/>
        <v>98.185535394837714</v>
      </c>
      <c r="J60" s="102">
        <f t="shared" si="42"/>
        <v>100.95766454809868</v>
      </c>
      <c r="K60" s="102">
        <f t="shared" si="42"/>
        <v>99.640246025298822</v>
      </c>
      <c r="L60" s="102">
        <f t="shared" si="42"/>
        <v>93.79873746750836</v>
      </c>
      <c r="M60" s="102">
        <f t="shared" si="42"/>
        <v>96.017699115044252</v>
      </c>
      <c r="N60" s="127">
        <f t="shared" si="42"/>
        <v>92.322964923891462</v>
      </c>
      <c r="O60" s="130">
        <f>AVERAGE(H60:N60)</f>
        <v>96.929973366987284</v>
      </c>
      <c r="Q60" s="131">
        <f t="shared" ref="Q60:W60" si="43">Q57/Q59</f>
        <v>95.303091128061013</v>
      </c>
      <c r="R60" s="131">
        <f t="shared" si="43"/>
        <v>103.16529894490036</v>
      </c>
      <c r="S60" s="131">
        <f t="shared" si="43"/>
        <v>100.57129532470562</v>
      </c>
      <c r="T60" s="131">
        <f t="shared" si="43"/>
        <v>104.04376784015224</v>
      </c>
      <c r="U60" s="131">
        <f t="shared" si="43"/>
        <v>93.120738066586441</v>
      </c>
      <c r="V60" s="131">
        <f t="shared" si="43"/>
        <v>122.63648468708389</v>
      </c>
      <c r="W60" s="131">
        <f t="shared" si="43"/>
        <v>93.852459016393439</v>
      </c>
      <c r="X60" s="130">
        <f>AVERAGE(Q60:W60)</f>
        <v>101.81330500112615</v>
      </c>
      <c r="Z60" s="131">
        <f t="shared" ref="Z60:AF60" si="44">Z57/Z59</f>
        <v>89.310123878684323</v>
      </c>
      <c r="AA60" s="131">
        <f t="shared" si="44"/>
        <v>95.067561966343362</v>
      </c>
      <c r="AB60" s="131">
        <f t="shared" si="44"/>
        <v>97.881112176414192</v>
      </c>
      <c r="AC60" s="131">
        <f t="shared" si="44"/>
        <v>98.012215435868967</v>
      </c>
      <c r="AD60" s="131">
        <f t="shared" si="44"/>
        <v>90.884786760025463</v>
      </c>
      <c r="AE60" s="131">
        <f t="shared" si="44"/>
        <v>100.35906642728904</v>
      </c>
      <c r="AF60" s="131">
        <f t="shared" si="44"/>
        <v>113.01818181818182</v>
      </c>
      <c r="AG60" s="130">
        <f>AVERAGE(Z60:AF60)</f>
        <v>97.790435494686719</v>
      </c>
      <c r="AI60" s="131">
        <f>AI57/AI59</f>
        <v>98.874402026076353</v>
      </c>
      <c r="AJ60" s="131">
        <f>AJ57/AJ59</f>
        <v>97.233691164327013</v>
      </c>
      <c r="AK60" s="131">
        <f>AK57/AK59</f>
        <v>91.708008504606667</v>
      </c>
      <c r="AL60" s="131">
        <f>AL57/AL59</f>
        <v>87.377228082939254</v>
      </c>
      <c r="AM60" s="131"/>
      <c r="AN60" s="131"/>
      <c r="AO60" s="131"/>
      <c r="AP60" s="130">
        <f>AVERAGE(AI60:AO60)</f>
        <v>93.798332444487329</v>
      </c>
      <c r="AR60" s="131"/>
      <c r="AS60" s="131">
        <f t="shared" ref="AS60:AX60" si="45">AS57/AS59</f>
        <v>101.24522814033813</v>
      </c>
      <c r="AT60" s="131">
        <f t="shared" si="45"/>
        <v>91.611727966689799</v>
      </c>
      <c r="AU60" s="131">
        <f t="shared" si="45"/>
        <v>101.02143335565975</v>
      </c>
      <c r="AV60" s="131">
        <f t="shared" si="45"/>
        <v>95.546759030183068</v>
      </c>
      <c r="AW60" s="131">
        <f t="shared" si="45"/>
        <v>112.86015460295151</v>
      </c>
      <c r="AX60" s="131">
        <f t="shared" si="45"/>
        <v>106.17408906882591</v>
      </c>
      <c r="AY60" s="130">
        <f>AVERAGE(AR60:AX60)</f>
        <v>101.40989869410804</v>
      </c>
      <c r="AZ60" s="107"/>
      <c r="BA60" s="131">
        <f t="shared" ref="BA60:BG60" si="46">BA57/BA59</f>
        <v>149.02390074803867</v>
      </c>
      <c r="BB60" s="131">
        <f t="shared" si="46"/>
        <v>98.681247989707302</v>
      </c>
      <c r="BC60" s="131">
        <f t="shared" si="46"/>
        <v>99.538336199873271</v>
      </c>
      <c r="BD60" s="131">
        <f t="shared" si="46"/>
        <v>108.92170746510216</v>
      </c>
      <c r="BE60" s="131">
        <f t="shared" si="46"/>
        <v>91.449652777777786</v>
      </c>
      <c r="BF60" s="131">
        <f t="shared" si="46"/>
        <v>87.969924812030072</v>
      </c>
      <c r="BG60" s="131">
        <f t="shared" si="46"/>
        <v>106.22710622710623</v>
      </c>
      <c r="BH60" s="130">
        <f>AVERAGE(BA60:BG60)</f>
        <v>105.97312517423363</v>
      </c>
      <c r="BJ60" s="131">
        <f t="shared" ref="BJ60:BP60" si="47">BJ57/BJ59</f>
        <v>97.796028693211355</v>
      </c>
      <c r="BK60" s="102">
        <f t="shared" si="47"/>
        <v>99.605884290262381</v>
      </c>
      <c r="BL60" s="102">
        <f t="shared" si="47"/>
        <v>98.387616897774905</v>
      </c>
      <c r="BM60" s="102">
        <f t="shared" si="47"/>
        <v>92.777202072538856</v>
      </c>
      <c r="BN60" s="102">
        <f t="shared" si="47"/>
        <v>84.681002310289671</v>
      </c>
      <c r="BO60" s="102">
        <f t="shared" si="47"/>
        <v>99.167482859941231</v>
      </c>
      <c r="BP60" s="102">
        <f t="shared" si="47"/>
        <v>93.122676579925653</v>
      </c>
      <c r="BQ60" s="132">
        <f>AVERAGE(BJ60:BP60)</f>
        <v>95.076841957706293</v>
      </c>
      <c r="BS60" s="105">
        <f t="shared" ref="BS60:BY60" si="48">BS57/BS59</f>
        <v>83.066408242374777</v>
      </c>
      <c r="BT60" s="106">
        <f t="shared" si="48"/>
        <v>88.015912481352558</v>
      </c>
      <c r="BU60" s="106">
        <f t="shared" si="48"/>
        <v>89.400754497968663</v>
      </c>
      <c r="BV60" s="106">
        <f t="shared" si="48"/>
        <v>88.310611643330873</v>
      </c>
      <c r="BW60" s="106">
        <f t="shared" si="48"/>
        <v>79.271285633377389</v>
      </c>
      <c r="BX60" s="106">
        <f t="shared" si="48"/>
        <v>100.03628447024674</v>
      </c>
      <c r="BY60" s="106">
        <f t="shared" si="48"/>
        <v>108.21621621621622</v>
      </c>
      <c r="BZ60" s="265">
        <f t="shared" ref="BZ60" si="49">AVERAGE(BS60:BY60)</f>
        <v>90.902496169266755</v>
      </c>
      <c r="CB60" s="105">
        <f>CB57/CB59</f>
        <v>150.11764705882354</v>
      </c>
      <c r="CC60" s="304">
        <f>CC57/CC59</f>
        <v>101.79764922793271</v>
      </c>
      <c r="CD60" s="102">
        <f>CD57/CD59</f>
        <v>89.259153318077807</v>
      </c>
      <c r="CE60" s="102">
        <f>CE57/CE59</f>
        <v>86.507858060689927</v>
      </c>
      <c r="CF60" s="102">
        <f t="shared" ref="CF60:CH60" si="50">CF57/CF59</f>
        <v>97.839162396970366</v>
      </c>
      <c r="CG60" s="102">
        <f t="shared" si="50"/>
        <v>208</v>
      </c>
      <c r="CH60" s="102">
        <f t="shared" si="50"/>
        <v>99.066666666666663</v>
      </c>
      <c r="CI60" s="265">
        <f t="shared" ref="CI60" si="51">AVERAGE(CB60:CH60)</f>
        <v>118.94116238988015</v>
      </c>
      <c r="CK60" s="102">
        <f t="shared" ref="CK60:CM60" si="52">CK57/CK59</f>
        <v>101.33428639504409</v>
      </c>
      <c r="CL60" s="102">
        <f t="shared" si="52"/>
        <v>102.83203125</v>
      </c>
      <c r="CM60" s="102">
        <f t="shared" si="52"/>
        <v>66.01880877742947</v>
      </c>
      <c r="CN60" s="106"/>
      <c r="CO60" s="106"/>
      <c r="CP60" s="106"/>
      <c r="CQ60" s="340"/>
      <c r="CR60" s="339">
        <f t="shared" ref="CR60" si="53">AVERAGE(CK60:CQ60)</f>
        <v>90.061708807491186</v>
      </c>
    </row>
    <row r="61" spans="2:96" ht="15.75" customHeight="1" thickBot="1" x14ac:dyDescent="0.35">
      <c r="B61" s="2"/>
      <c r="E61" s="93"/>
      <c r="F61" s="82"/>
      <c r="H61" s="30"/>
      <c r="I61" s="30"/>
      <c r="J61" s="30"/>
      <c r="K61" s="30"/>
      <c r="L61" s="30"/>
      <c r="M61" s="30"/>
      <c r="N61" s="30"/>
      <c r="O61" s="30"/>
      <c r="Q61" s="30"/>
      <c r="R61" s="30"/>
      <c r="S61" s="30"/>
      <c r="T61" s="30"/>
      <c r="U61" s="30"/>
      <c r="V61" s="30"/>
      <c r="W61" s="30"/>
      <c r="X61" s="30"/>
      <c r="Z61" s="30"/>
      <c r="AA61" s="30"/>
      <c r="AB61" s="30"/>
      <c r="AC61" s="30"/>
      <c r="AD61" s="30"/>
      <c r="AE61" s="30"/>
      <c r="AF61" s="30"/>
      <c r="AG61" s="30"/>
      <c r="AI61" s="30"/>
      <c r="AJ61" s="30"/>
      <c r="AK61" s="30"/>
      <c r="AL61" s="30"/>
      <c r="AM61" s="30"/>
      <c r="AN61" s="30"/>
      <c r="AO61" s="30"/>
      <c r="AP61" s="30"/>
      <c r="AR61" s="30"/>
      <c r="AS61" s="30"/>
      <c r="AT61" s="30"/>
      <c r="AU61" s="30"/>
      <c r="AV61" s="30"/>
      <c r="AW61" s="30"/>
      <c r="AX61" s="30"/>
      <c r="AY61" s="30"/>
      <c r="AZ61" s="107"/>
      <c r="BA61" s="30"/>
      <c r="BB61" s="30"/>
      <c r="BC61" s="30"/>
      <c r="BD61" s="30"/>
      <c r="BE61" s="30"/>
      <c r="BF61" s="30"/>
      <c r="BG61" s="30"/>
      <c r="BH61" s="30"/>
      <c r="BJ61" s="30"/>
      <c r="BK61" s="30"/>
      <c r="BL61" s="30"/>
      <c r="BM61" s="30"/>
      <c r="BN61" s="30"/>
      <c r="BO61" s="30"/>
      <c r="BP61" s="30"/>
      <c r="BQ61" s="30"/>
      <c r="BS61" s="30"/>
      <c r="BT61" s="30"/>
      <c r="BU61" s="30"/>
      <c r="BV61" s="30"/>
      <c r="BW61" s="30"/>
      <c r="BX61" s="30"/>
      <c r="BY61" s="30"/>
      <c r="BZ61" s="30"/>
      <c r="CB61" s="30"/>
      <c r="CC61" s="30"/>
      <c r="CD61" s="30"/>
      <c r="CE61" s="30"/>
      <c r="CF61" s="30"/>
      <c r="CG61" s="30"/>
      <c r="CH61" s="30"/>
      <c r="CI61" s="30"/>
      <c r="CK61" s="30"/>
      <c r="CL61" s="30"/>
      <c r="CM61" s="30"/>
      <c r="CN61" s="30"/>
      <c r="CO61" s="30"/>
      <c r="CP61" s="30"/>
      <c r="CQ61" s="30"/>
      <c r="CR61" s="30"/>
    </row>
    <row r="62" spans="2:96" ht="16.2" outlineLevel="1" thickBot="1" x14ac:dyDescent="0.35">
      <c r="B62" s="951" t="s">
        <v>93</v>
      </c>
      <c r="C62" s="952"/>
      <c r="D62" s="952"/>
      <c r="E62" s="952"/>
      <c r="F62" s="953"/>
      <c r="H62" s="860"/>
      <c r="I62" s="861"/>
      <c r="J62" s="861"/>
      <c r="K62" s="861"/>
      <c r="L62" s="861"/>
      <c r="M62" s="861"/>
      <c r="N62" s="861"/>
      <c r="O62" s="862"/>
      <c r="Q62" s="860"/>
      <c r="R62" s="861"/>
      <c r="S62" s="861"/>
      <c r="T62" s="861"/>
      <c r="U62" s="861"/>
      <c r="V62" s="861"/>
      <c r="W62" s="861"/>
      <c r="X62" s="862"/>
      <c r="Z62" s="860"/>
      <c r="AA62" s="861"/>
      <c r="AB62" s="861"/>
      <c r="AC62" s="861"/>
      <c r="AD62" s="861"/>
      <c r="AE62" s="861"/>
      <c r="AF62" s="861"/>
      <c r="AG62" s="862"/>
      <c r="AI62" s="860"/>
      <c r="AJ62" s="861"/>
      <c r="AK62" s="861"/>
      <c r="AL62" s="861"/>
      <c r="AM62" s="861"/>
      <c r="AN62" s="861"/>
      <c r="AO62" s="861"/>
      <c r="AP62" s="862"/>
      <c r="AR62" s="860"/>
      <c r="AS62" s="861"/>
      <c r="AT62" s="861"/>
      <c r="AU62" s="861"/>
      <c r="AV62" s="861"/>
      <c r="AW62" s="861"/>
      <c r="AX62" s="861"/>
      <c r="AY62" s="862"/>
      <c r="AZ62" s="107"/>
      <c r="BA62" s="860"/>
      <c r="BB62" s="861"/>
      <c r="BC62" s="861"/>
      <c r="BD62" s="861"/>
      <c r="BE62" s="861"/>
      <c r="BF62" s="861"/>
      <c r="BG62" s="861"/>
      <c r="BH62" s="862"/>
      <c r="BJ62" s="860"/>
      <c r="BK62" s="861"/>
      <c r="BL62" s="861"/>
      <c r="BM62" s="861"/>
      <c r="BN62" s="861"/>
      <c r="BO62" s="861"/>
      <c r="BP62" s="861"/>
      <c r="BQ62" s="862"/>
      <c r="BS62" s="860"/>
      <c r="BT62" s="861"/>
      <c r="BU62" s="861"/>
      <c r="BV62" s="861"/>
      <c r="BW62" s="861"/>
      <c r="BX62" s="861"/>
      <c r="BY62" s="861"/>
      <c r="BZ62" s="862"/>
      <c r="CB62" s="860"/>
      <c r="CC62" s="861"/>
      <c r="CD62" s="861"/>
      <c r="CE62" s="861"/>
      <c r="CF62" s="861"/>
      <c r="CG62" s="861"/>
      <c r="CH62" s="861"/>
      <c r="CI62" s="862"/>
      <c r="CK62" s="860"/>
      <c r="CL62" s="861"/>
      <c r="CM62" s="861"/>
      <c r="CN62" s="861"/>
      <c r="CO62" s="861"/>
      <c r="CP62" s="861"/>
      <c r="CQ62" s="861"/>
      <c r="CR62" s="862"/>
    </row>
    <row r="63" spans="2:96" outlineLevel="1" x14ac:dyDescent="0.3">
      <c r="B63" s="133" t="s">
        <v>29</v>
      </c>
      <c r="C63" s="134" t="s">
        <v>92</v>
      </c>
      <c r="D63" s="134" t="s">
        <v>94</v>
      </c>
      <c r="E63" s="135">
        <v>293.90999999999997</v>
      </c>
      <c r="F63" s="97" t="s">
        <v>37</v>
      </c>
      <c r="H63" s="18">
        <v>191.61</v>
      </c>
      <c r="I63" s="19">
        <v>179.23</v>
      </c>
      <c r="J63" s="19">
        <v>164.06</v>
      </c>
      <c r="K63" s="19">
        <v>16.02</v>
      </c>
      <c r="L63" s="19">
        <v>263.07</v>
      </c>
      <c r="M63" s="19">
        <v>137.21</v>
      </c>
      <c r="N63" s="19">
        <v>193.25</v>
      </c>
      <c r="O63" s="20">
        <f>SUM(H63:N63)</f>
        <v>1144.45</v>
      </c>
      <c r="Q63" s="18">
        <v>233.37</v>
      </c>
      <c r="R63" s="19">
        <v>272.5</v>
      </c>
      <c r="S63" s="19">
        <v>234.87</v>
      </c>
      <c r="T63" s="19">
        <v>226.05</v>
      </c>
      <c r="U63" s="19">
        <v>182.44</v>
      </c>
      <c r="V63" s="19">
        <v>206.14</v>
      </c>
      <c r="W63" s="19">
        <v>105.01</v>
      </c>
      <c r="X63" s="20">
        <f>SUM(Q63:W63)</f>
        <v>1460.3799999999999</v>
      </c>
      <c r="Z63" s="18">
        <v>175.24</v>
      </c>
      <c r="AA63" s="19">
        <v>105.45</v>
      </c>
      <c r="AB63" s="19">
        <v>8.35</v>
      </c>
      <c r="AC63" s="19"/>
      <c r="AD63" s="19"/>
      <c r="AE63" s="19"/>
      <c r="AF63" s="19"/>
      <c r="AG63" s="20">
        <f>SUM(Z63:AF63)</f>
        <v>289.04000000000002</v>
      </c>
      <c r="AI63" s="18">
        <v>0</v>
      </c>
      <c r="AJ63" s="19">
        <v>0</v>
      </c>
      <c r="AK63" s="19">
        <v>0</v>
      </c>
      <c r="AL63" s="19"/>
      <c r="AM63" s="19">
        <v>0</v>
      </c>
      <c r="AN63" s="19"/>
      <c r="AO63" s="19"/>
      <c r="AP63" s="20">
        <f>SUM(AI63:AO63)</f>
        <v>0</v>
      </c>
      <c r="AR63" s="18"/>
      <c r="AS63" s="19"/>
      <c r="AT63" s="19"/>
      <c r="AU63" s="19"/>
      <c r="AV63" s="19">
        <v>0</v>
      </c>
      <c r="AW63" s="19">
        <v>0</v>
      </c>
      <c r="AX63" s="19">
        <v>0</v>
      </c>
      <c r="AY63" s="20">
        <f>SUM(AR63:AX63)</f>
        <v>0</v>
      </c>
      <c r="AZ63" s="107"/>
      <c r="BA63" s="18" t="s">
        <v>61</v>
      </c>
      <c r="BB63" s="19">
        <v>0</v>
      </c>
      <c r="BC63" s="19">
        <v>0</v>
      </c>
      <c r="BD63" s="19">
        <v>0</v>
      </c>
      <c r="BE63" s="19"/>
      <c r="BF63" s="19"/>
      <c r="BG63" s="19"/>
      <c r="BH63" s="20">
        <f>SUM(BA63:BG63)</f>
        <v>0</v>
      </c>
      <c r="BJ63" s="18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20">
        <f t="shared" ref="BQ63:BQ67" si="54">SUM(BJ63:BP63)</f>
        <v>0</v>
      </c>
      <c r="BS63" s="18">
        <v>0</v>
      </c>
      <c r="BT63" s="19"/>
      <c r="BU63" s="19"/>
      <c r="BV63" s="19"/>
      <c r="BW63" s="19"/>
      <c r="BX63" s="19"/>
      <c r="BY63" s="19"/>
      <c r="BZ63" s="20">
        <f t="shared" ref="BZ63:BZ67" si="55">SUM(BS63:BY63)</f>
        <v>0</v>
      </c>
      <c r="CB63" s="18">
        <v>0</v>
      </c>
      <c r="CC63" s="19">
        <v>0</v>
      </c>
      <c r="CD63" s="19">
        <v>0</v>
      </c>
      <c r="CE63" s="19">
        <v>0</v>
      </c>
      <c r="CF63" s="19"/>
      <c r="CG63" s="19"/>
      <c r="CH63" s="19"/>
      <c r="CI63" s="20">
        <f t="shared" ref="CI63:CI67" si="56">SUM(CB63:CH63)</f>
        <v>0</v>
      </c>
      <c r="CK63" s="18">
        <v>0</v>
      </c>
      <c r="CL63" s="19">
        <v>0</v>
      </c>
      <c r="CM63" s="19"/>
      <c r="CN63" s="19"/>
      <c r="CO63" s="19"/>
      <c r="CP63" s="19"/>
      <c r="CQ63" s="19"/>
      <c r="CR63" s="20">
        <f t="shared" ref="CR63:CR67" si="57">SUM(CK63:CQ63)</f>
        <v>0</v>
      </c>
    </row>
    <row r="64" spans="2:96" outlineLevel="1" x14ac:dyDescent="0.3">
      <c r="B64" s="133" t="s">
        <v>96</v>
      </c>
      <c r="C64" s="134" t="s">
        <v>192</v>
      </c>
      <c r="D64" s="134"/>
      <c r="E64" s="136"/>
      <c r="F64" s="97" t="s">
        <v>37</v>
      </c>
      <c r="H64" s="18"/>
      <c r="I64" s="19"/>
      <c r="J64" s="19"/>
      <c r="K64" s="19"/>
      <c r="L64" s="19"/>
      <c r="M64" s="19"/>
      <c r="N64" s="19"/>
      <c r="O64" s="20"/>
      <c r="Q64" s="18"/>
      <c r="R64" s="19"/>
      <c r="S64" s="19"/>
      <c r="T64" s="19"/>
      <c r="U64" s="19"/>
      <c r="V64" s="19"/>
      <c r="W64" s="19"/>
      <c r="X64" s="20"/>
      <c r="Z64" s="18"/>
      <c r="AA64" s="19"/>
      <c r="AB64" s="19"/>
      <c r="AC64" s="19"/>
      <c r="AD64" s="19"/>
      <c r="AE64" s="19"/>
      <c r="AF64" s="19"/>
      <c r="AG64" s="20"/>
      <c r="AI64" s="18"/>
      <c r="AJ64" s="19"/>
      <c r="AK64" s="19"/>
      <c r="AL64" s="19"/>
      <c r="AM64" s="19"/>
      <c r="AN64" s="19"/>
      <c r="AO64" s="19"/>
      <c r="AP64" s="20"/>
      <c r="AR64" s="18"/>
      <c r="AS64" s="19"/>
      <c r="AT64" s="19"/>
      <c r="AU64" s="19"/>
      <c r="AV64" s="19"/>
      <c r="AW64" s="19"/>
      <c r="AX64" s="19"/>
      <c r="AY64" s="20"/>
      <c r="AZ64" s="107"/>
      <c r="BA64" s="18">
        <v>7.0000000000000007E-2</v>
      </c>
      <c r="BB64" s="19">
        <f t="shared" ref="BB64:BG64" si="58">BB66+BB65</f>
        <v>9.52</v>
      </c>
      <c r="BC64" s="19">
        <f t="shared" si="58"/>
        <v>27</v>
      </c>
      <c r="BD64" s="19">
        <f t="shared" si="58"/>
        <v>31.970000000000002</v>
      </c>
      <c r="BE64" s="19">
        <f t="shared" si="58"/>
        <v>40.549999999999997</v>
      </c>
      <c r="BF64" s="19">
        <f t="shared" si="58"/>
        <v>4.74</v>
      </c>
      <c r="BG64" s="19">
        <f t="shared" si="58"/>
        <v>1.1400000000000001</v>
      </c>
      <c r="BH64" s="20"/>
      <c r="BJ64" s="18">
        <v>0.38</v>
      </c>
      <c r="BK64" s="19">
        <v>0.38</v>
      </c>
      <c r="BL64" s="19">
        <v>12.55</v>
      </c>
      <c r="BM64" s="19">
        <v>29.14</v>
      </c>
      <c r="BN64" s="19">
        <v>58.04</v>
      </c>
      <c r="BO64" s="19">
        <v>23.34</v>
      </c>
      <c r="BP64" s="19">
        <v>0.74</v>
      </c>
      <c r="BQ64" s="20">
        <f t="shared" si="54"/>
        <v>124.57000000000001</v>
      </c>
      <c r="BS64" s="18">
        <f>0.23</f>
        <v>0.23</v>
      </c>
      <c r="BT64" s="19">
        <v>26.2</v>
      </c>
      <c r="BU64" s="19">
        <v>59.69</v>
      </c>
      <c r="BV64" s="19">
        <v>47.92</v>
      </c>
      <c r="BW64" s="19">
        <v>67.739999999999995</v>
      </c>
      <c r="BX64" s="19">
        <v>38.56</v>
      </c>
      <c r="BY64" s="19">
        <v>0.18</v>
      </c>
      <c r="BZ64" s="20">
        <f t="shared" si="55"/>
        <v>240.52000000000004</v>
      </c>
      <c r="CB64" s="18">
        <v>0.24</v>
      </c>
      <c r="CC64" s="19">
        <v>0.04</v>
      </c>
      <c r="CD64" s="19">
        <v>19</v>
      </c>
      <c r="CE64" s="19">
        <v>30.85</v>
      </c>
      <c r="CF64" s="19">
        <v>32.979999999999997</v>
      </c>
      <c r="CG64" s="19">
        <v>0.76</v>
      </c>
      <c r="CH64" s="19">
        <v>0.22</v>
      </c>
      <c r="CI64" s="20">
        <f t="shared" si="56"/>
        <v>84.09</v>
      </c>
      <c r="CK64" s="18">
        <v>0.02</v>
      </c>
      <c r="CL64" s="19">
        <v>0.21</v>
      </c>
      <c r="CM64" s="19"/>
      <c r="CN64" s="19"/>
      <c r="CO64" s="19"/>
      <c r="CP64" s="19"/>
      <c r="CQ64" s="19"/>
      <c r="CR64" s="20">
        <f t="shared" si="57"/>
        <v>0.22999999999999998</v>
      </c>
    </row>
    <row r="65" spans="2:96 15898:15898" ht="15.75" hidden="1" outlineLevel="1" x14ac:dyDescent="0.25">
      <c r="B65" s="133" t="s">
        <v>97</v>
      </c>
      <c r="C65" s="134" t="s">
        <v>95</v>
      </c>
      <c r="D65" s="134"/>
      <c r="E65" s="136"/>
      <c r="F65" s="87" t="s">
        <v>37</v>
      </c>
      <c r="H65" s="18"/>
      <c r="I65" s="19"/>
      <c r="J65" s="19"/>
      <c r="K65" s="19"/>
      <c r="L65" s="19"/>
      <c r="M65" s="19"/>
      <c r="N65" s="19"/>
      <c r="O65" s="20"/>
      <c r="Q65" s="18"/>
      <c r="R65" s="19"/>
      <c r="S65" s="19"/>
      <c r="T65" s="19"/>
      <c r="U65" s="19"/>
      <c r="V65" s="19"/>
      <c r="W65" s="19"/>
      <c r="X65" s="20"/>
      <c r="Z65" s="18"/>
      <c r="AA65" s="19"/>
      <c r="AB65" s="19"/>
      <c r="AC65" s="19"/>
      <c r="AD65" s="19"/>
      <c r="AE65" s="19"/>
      <c r="AF65" s="19"/>
      <c r="AG65" s="20"/>
      <c r="AI65" s="18"/>
      <c r="AJ65" s="19"/>
      <c r="AK65" s="19">
        <v>0</v>
      </c>
      <c r="AL65" s="19">
        <v>3.38</v>
      </c>
      <c r="AM65" s="19">
        <v>5.09</v>
      </c>
      <c r="AN65" s="19">
        <v>0.75</v>
      </c>
      <c r="AO65" s="19">
        <v>1.07</v>
      </c>
      <c r="AP65" s="20">
        <f t="shared" ref="AP65:AP67" si="59">SUM(AI65:AO65)</f>
        <v>10.29</v>
      </c>
      <c r="AR65" s="18">
        <v>0.93</v>
      </c>
      <c r="AS65" s="19">
        <v>10.02</v>
      </c>
      <c r="AT65" s="19">
        <v>0.3</v>
      </c>
      <c r="AU65" s="19">
        <v>1.29</v>
      </c>
      <c r="AV65" s="19">
        <v>0.9</v>
      </c>
      <c r="AW65" s="19">
        <v>3.65</v>
      </c>
      <c r="AX65" s="19">
        <v>5.36</v>
      </c>
      <c r="AY65" s="20"/>
      <c r="AZ65" s="107"/>
      <c r="BA65" s="18">
        <v>0.01</v>
      </c>
      <c r="BB65" s="19">
        <v>0.11</v>
      </c>
      <c r="BC65" s="19">
        <v>0.01</v>
      </c>
      <c r="BD65" s="19">
        <v>0.01</v>
      </c>
      <c r="BE65" s="19">
        <v>0.08</v>
      </c>
      <c r="BF65" s="19">
        <v>7.0000000000000007E-2</v>
      </c>
      <c r="BG65" s="19">
        <v>0.26</v>
      </c>
      <c r="BH65" s="20"/>
      <c r="BJ65" s="18">
        <v>0</v>
      </c>
      <c r="BK65" s="19">
        <v>0.03</v>
      </c>
      <c r="BL65" s="19">
        <v>0</v>
      </c>
      <c r="BM65" s="19">
        <v>0</v>
      </c>
      <c r="BN65" s="19">
        <v>0.03</v>
      </c>
      <c r="BO65" s="19">
        <v>0.19</v>
      </c>
      <c r="BP65" s="19">
        <v>0.7</v>
      </c>
      <c r="BQ65" s="20">
        <f t="shared" si="54"/>
        <v>0.95</v>
      </c>
      <c r="BS65" s="18">
        <v>0.01</v>
      </c>
      <c r="BT65" s="19">
        <v>0.02</v>
      </c>
      <c r="BU65" s="19">
        <v>7.0000000000000007E-2</v>
      </c>
      <c r="BV65" s="19">
        <v>0.01</v>
      </c>
      <c r="BW65" s="19">
        <v>0.01</v>
      </c>
      <c r="BX65" s="19">
        <v>0.17</v>
      </c>
      <c r="BY65" s="19">
        <v>0.16</v>
      </c>
      <c r="BZ65" s="20">
        <f t="shared" si="55"/>
        <v>0.45000000000000007</v>
      </c>
      <c r="CB65" s="18">
        <v>0</v>
      </c>
      <c r="CC65" s="19">
        <v>0.04</v>
      </c>
      <c r="CD65" s="19">
        <v>0.05</v>
      </c>
      <c r="CE65" s="19">
        <v>0.02</v>
      </c>
      <c r="CF65" s="19">
        <v>7.0000000000000007E-2</v>
      </c>
      <c r="CG65" s="19">
        <v>0.02</v>
      </c>
      <c r="CH65" s="19">
        <v>0.22</v>
      </c>
      <c r="CI65" s="20">
        <f t="shared" si="56"/>
        <v>0.42</v>
      </c>
      <c r="CK65" s="18" t="s">
        <v>234</v>
      </c>
      <c r="CL65" s="19"/>
      <c r="CM65" s="19"/>
      <c r="CN65" s="19"/>
      <c r="CO65" s="19"/>
      <c r="CP65" s="19"/>
      <c r="CQ65" s="19"/>
      <c r="CR65" s="20">
        <f t="shared" si="57"/>
        <v>0</v>
      </c>
    </row>
    <row r="66" spans="2:96 15898:15898" ht="15.75" hidden="1" outlineLevel="1" x14ac:dyDescent="0.25">
      <c r="B66" s="133" t="s">
        <v>98</v>
      </c>
      <c r="C66" s="134" t="s">
        <v>95</v>
      </c>
      <c r="D66" s="134"/>
      <c r="E66" s="136"/>
      <c r="F66" s="87" t="s">
        <v>37</v>
      </c>
      <c r="H66" s="18"/>
      <c r="I66" s="19"/>
      <c r="J66" s="19"/>
      <c r="K66" s="19"/>
      <c r="L66" s="19"/>
      <c r="M66" s="19"/>
      <c r="N66" s="19"/>
      <c r="O66" s="20"/>
      <c r="Q66" s="18"/>
      <c r="R66" s="19"/>
      <c r="S66" s="19"/>
      <c r="T66" s="19"/>
      <c r="U66" s="19"/>
      <c r="V66" s="19"/>
      <c r="W66" s="19"/>
      <c r="X66" s="20"/>
      <c r="Z66" s="18"/>
      <c r="AA66" s="19"/>
      <c r="AB66" s="19"/>
      <c r="AC66" s="19"/>
      <c r="AD66" s="19"/>
      <c r="AE66" s="19"/>
      <c r="AF66" s="19"/>
      <c r="AG66" s="20"/>
      <c r="AI66" s="18">
        <v>9.61</v>
      </c>
      <c r="AJ66" s="19">
        <v>34.47</v>
      </c>
      <c r="AK66" s="19">
        <v>38.94</v>
      </c>
      <c r="AL66" s="19">
        <v>33.4</v>
      </c>
      <c r="AM66" s="19">
        <v>32.5</v>
      </c>
      <c r="AN66" s="19">
        <v>15.3</v>
      </c>
      <c r="AO66" s="19">
        <v>4.3</v>
      </c>
      <c r="AP66" s="20">
        <f t="shared" si="59"/>
        <v>168.52</v>
      </c>
      <c r="AR66" s="18">
        <v>1.17</v>
      </c>
      <c r="AS66" s="19">
        <v>96.28</v>
      </c>
      <c r="AT66" s="19">
        <v>474.93</v>
      </c>
      <c r="AU66" s="19">
        <v>602.86</v>
      </c>
      <c r="AV66" s="19"/>
      <c r="AW66" s="19">
        <v>5.43</v>
      </c>
      <c r="AX66" s="19">
        <v>0.04</v>
      </c>
      <c r="AY66" s="20"/>
      <c r="AZ66" s="107"/>
      <c r="BA66" s="18">
        <v>0.06</v>
      </c>
      <c r="BB66" s="19">
        <v>9.41</v>
      </c>
      <c r="BC66" s="19">
        <v>26.99</v>
      </c>
      <c r="BD66" s="19">
        <v>31.96</v>
      </c>
      <c r="BE66" s="19">
        <v>40.47</v>
      </c>
      <c r="BF66" s="19">
        <v>4.67</v>
      </c>
      <c r="BG66" s="19">
        <v>0.88</v>
      </c>
      <c r="BH66" s="20"/>
      <c r="BJ66" s="18">
        <v>0.38</v>
      </c>
      <c r="BK66" s="19">
        <v>0.35</v>
      </c>
      <c r="BL66" s="19">
        <v>13.86</v>
      </c>
      <c r="BM66" s="19">
        <v>29.14</v>
      </c>
      <c r="BN66" s="19">
        <v>58.01</v>
      </c>
      <c r="BO66" s="19">
        <v>23.15</v>
      </c>
      <c r="BP66" s="19">
        <v>0.03</v>
      </c>
      <c r="BQ66" s="20">
        <f t="shared" si="54"/>
        <v>124.92000000000002</v>
      </c>
      <c r="BS66" s="18">
        <v>0.22</v>
      </c>
      <c r="BT66" s="19">
        <v>26.19</v>
      </c>
      <c r="BU66" s="19">
        <v>59.62</v>
      </c>
      <c r="BV66" s="19">
        <v>47.91</v>
      </c>
      <c r="BW66" s="19">
        <f>BW64-BW65</f>
        <v>67.72999999999999</v>
      </c>
      <c r="BX66" s="19">
        <f t="shared" ref="BX66:BY66" si="60">BX64-BX65</f>
        <v>38.39</v>
      </c>
      <c r="BY66" s="19">
        <f t="shared" si="60"/>
        <v>1.999999999999999E-2</v>
      </c>
      <c r="BZ66" s="20">
        <f t="shared" si="55"/>
        <v>240.08</v>
      </c>
      <c r="CB66" s="18">
        <v>0.24</v>
      </c>
      <c r="CC66" s="19">
        <v>0</v>
      </c>
      <c r="CD66" s="19">
        <f>CD64-CD65</f>
        <v>18.95</v>
      </c>
      <c r="CE66" s="19">
        <f>CE64-CE65</f>
        <v>30.830000000000002</v>
      </c>
      <c r="CF66" s="19">
        <f t="shared" ref="CF66:CH66" si="61">CF64-CF65</f>
        <v>32.909999999999997</v>
      </c>
      <c r="CG66" s="19">
        <f t="shared" si="61"/>
        <v>0.74</v>
      </c>
      <c r="CH66" s="19">
        <f t="shared" si="61"/>
        <v>0</v>
      </c>
      <c r="CI66" s="20">
        <f t="shared" si="56"/>
        <v>83.669999999999987</v>
      </c>
      <c r="CK66" s="18">
        <v>0</v>
      </c>
      <c r="CL66" s="19"/>
      <c r="CM66" s="19"/>
      <c r="CN66" s="19"/>
      <c r="CO66" s="19"/>
      <c r="CP66" s="19"/>
      <c r="CQ66" s="19"/>
      <c r="CR66" s="20">
        <f t="shared" si="57"/>
        <v>0</v>
      </c>
    </row>
    <row r="67" spans="2:96 15898:15898" ht="15" customHeight="1" outlineLevel="1" thickBot="1" x14ac:dyDescent="0.35">
      <c r="B67" s="137" t="s">
        <v>191</v>
      </c>
      <c r="C67" s="138" t="s">
        <v>26</v>
      </c>
      <c r="D67" s="138" t="s">
        <v>99</v>
      </c>
      <c r="E67" s="139"/>
      <c r="F67" s="108" t="s">
        <v>37</v>
      </c>
      <c r="H67" s="18">
        <v>1031</v>
      </c>
      <c r="I67" s="19">
        <v>1140.8399999999999</v>
      </c>
      <c r="J67" s="19">
        <v>939.44</v>
      </c>
      <c r="K67" s="19">
        <v>478.66</v>
      </c>
      <c r="L67" s="19">
        <v>349.34</v>
      </c>
      <c r="M67" s="19">
        <v>245.44</v>
      </c>
      <c r="N67" s="19">
        <v>243.47</v>
      </c>
      <c r="O67" s="20">
        <f>SUM(H67:N67)</f>
        <v>4428.1900000000005</v>
      </c>
      <c r="Q67" s="18">
        <v>711.09</v>
      </c>
      <c r="R67" s="19">
        <v>1084.47</v>
      </c>
      <c r="S67" s="19">
        <v>1093.69</v>
      </c>
      <c r="T67" s="19">
        <v>924.78</v>
      </c>
      <c r="U67" s="19">
        <v>507.41</v>
      </c>
      <c r="V67" s="19">
        <v>261.94</v>
      </c>
      <c r="W67" s="19">
        <v>267.44</v>
      </c>
      <c r="X67" s="20">
        <f>SUM(Q67:W67)</f>
        <v>4850.8199999999988</v>
      </c>
      <c r="Z67" s="18">
        <v>995.63</v>
      </c>
      <c r="AA67" s="19">
        <v>972.94</v>
      </c>
      <c r="AB67" s="19">
        <v>951</v>
      </c>
      <c r="AC67" s="19">
        <v>767.22</v>
      </c>
      <c r="AD67" s="19">
        <v>465.84</v>
      </c>
      <c r="AE67" s="19">
        <v>271.44</v>
      </c>
      <c r="AF67" s="19">
        <v>285.22000000000003</v>
      </c>
      <c r="AG67" s="20">
        <f>SUM(Z67:AF67)</f>
        <v>4709.29</v>
      </c>
      <c r="AI67" s="18">
        <v>1052.5899999999999</v>
      </c>
      <c r="AJ67" s="19">
        <v>1065.69</v>
      </c>
      <c r="AK67" s="19">
        <v>956.38</v>
      </c>
      <c r="AL67" s="19">
        <v>750.56</v>
      </c>
      <c r="AM67" s="19">
        <v>576.28</v>
      </c>
      <c r="AN67" s="19">
        <v>49.69</v>
      </c>
      <c r="AO67" s="19">
        <v>51</v>
      </c>
      <c r="AP67" s="20">
        <f t="shared" si="59"/>
        <v>4502.1899999999996</v>
      </c>
      <c r="AR67" s="18">
        <v>55.25</v>
      </c>
      <c r="AS67" s="19">
        <v>911.34</v>
      </c>
      <c r="AT67" s="19">
        <v>868.66</v>
      </c>
      <c r="AU67" s="19">
        <v>764.75</v>
      </c>
      <c r="AV67" s="19">
        <v>629.59</v>
      </c>
      <c r="AW67" s="19">
        <v>261.58999999999997</v>
      </c>
      <c r="AX67" s="19">
        <v>278.06</v>
      </c>
      <c r="AY67" s="20">
        <f>SUM(AR67:AX67)</f>
        <v>3769.2400000000002</v>
      </c>
      <c r="AZ67" s="107"/>
      <c r="BA67" s="18">
        <v>574.16</v>
      </c>
      <c r="BB67" s="19">
        <v>875.06</v>
      </c>
      <c r="BC67" s="19">
        <v>802.31</v>
      </c>
      <c r="BD67" s="19">
        <v>747.59</v>
      </c>
      <c r="BE67" s="19">
        <v>662.56</v>
      </c>
      <c r="BF67" s="19">
        <v>128.72</v>
      </c>
      <c r="BG67" s="19">
        <v>50.16</v>
      </c>
      <c r="BH67" s="20">
        <f>SUM(BA67:BG67)</f>
        <v>3840.5599999999995</v>
      </c>
      <c r="BJ67" s="18">
        <v>928.09</v>
      </c>
      <c r="BK67" s="19">
        <v>1040.44</v>
      </c>
      <c r="BL67" s="19">
        <v>991.47</v>
      </c>
      <c r="BM67" s="19">
        <v>757.44</v>
      </c>
      <c r="BN67" s="19">
        <v>569.78</v>
      </c>
      <c r="BO67" s="19">
        <v>66.38</v>
      </c>
      <c r="BP67" s="19">
        <v>102.34</v>
      </c>
      <c r="BQ67" s="20">
        <f t="shared" si="54"/>
        <v>4455.9400000000005</v>
      </c>
      <c r="BS67" s="23">
        <v>5429.98</v>
      </c>
      <c r="BT67" s="24">
        <v>5702.84</v>
      </c>
      <c r="BU67" s="24">
        <v>2295.59</v>
      </c>
      <c r="BV67" s="24">
        <v>2315.31</v>
      </c>
      <c r="BW67" s="24">
        <v>2669</v>
      </c>
      <c r="BX67" s="24">
        <v>2053</v>
      </c>
      <c r="BY67" s="24">
        <v>455.58</v>
      </c>
      <c r="BZ67" s="25">
        <f t="shared" si="55"/>
        <v>20921.300000000003</v>
      </c>
      <c r="CB67" s="23">
        <v>6886.31</v>
      </c>
      <c r="CC67" s="24">
        <v>7068.38</v>
      </c>
      <c r="CD67" s="24">
        <v>7000</v>
      </c>
      <c r="CE67" s="24">
        <v>4770.7</v>
      </c>
      <c r="CF67" s="24">
        <v>3483.61</v>
      </c>
      <c r="CG67" s="24">
        <v>197.09</v>
      </c>
      <c r="CH67" s="24">
        <v>179.41</v>
      </c>
      <c r="CI67" s="25">
        <f t="shared" si="56"/>
        <v>29585.500000000004</v>
      </c>
      <c r="CK67" s="23">
        <v>746.72</v>
      </c>
      <c r="CL67" s="24">
        <v>13274.73</v>
      </c>
      <c r="CM67" s="24"/>
      <c r="CN67" s="24"/>
      <c r="CO67" s="24"/>
      <c r="CP67" s="24"/>
      <c r="CQ67" s="24"/>
      <c r="CR67" s="25">
        <f t="shared" si="57"/>
        <v>14021.449999999999</v>
      </c>
    </row>
    <row r="68" spans="2:96 15898:15898" s="109" customFormat="1" ht="15" customHeight="1" outlineLevel="1" thickBot="1" x14ac:dyDescent="0.35">
      <c r="C68" s="140"/>
      <c r="D68" s="140"/>
      <c r="E68" s="141"/>
      <c r="F68" s="142"/>
      <c r="H68" s="143"/>
      <c r="I68" s="143"/>
      <c r="J68" s="143"/>
      <c r="K68" s="143"/>
      <c r="L68" s="143"/>
      <c r="M68" s="143"/>
      <c r="N68" s="143"/>
      <c r="O68" s="143"/>
      <c r="Q68" s="143"/>
      <c r="R68" s="143"/>
      <c r="S68" s="143"/>
      <c r="T68" s="143"/>
      <c r="U68" s="143"/>
      <c r="V68" s="143"/>
      <c r="W68" s="143"/>
      <c r="X68" s="143"/>
      <c r="Z68" s="143"/>
      <c r="AA68" s="143"/>
      <c r="AB68" s="143"/>
      <c r="AC68" s="143"/>
      <c r="AD68" s="143"/>
      <c r="AE68" s="143"/>
      <c r="AF68" s="143"/>
      <c r="AG68" s="143"/>
      <c r="AI68" s="143"/>
      <c r="AJ68" s="143"/>
      <c r="AK68" s="143"/>
      <c r="AL68" s="143"/>
      <c r="AM68" s="143"/>
      <c r="AN68" s="143"/>
      <c r="AO68" s="143"/>
      <c r="AP68" s="143"/>
      <c r="AR68" s="143"/>
      <c r="AS68" s="143"/>
      <c r="AT68" s="143"/>
      <c r="AU68" s="143"/>
      <c r="AV68" s="143"/>
      <c r="AW68" s="143"/>
      <c r="AX68" s="143"/>
      <c r="AY68" s="143"/>
      <c r="AZ68" s="144"/>
      <c r="BA68" s="143"/>
      <c r="BB68" s="143"/>
      <c r="BC68" s="143"/>
      <c r="BD68" s="143"/>
      <c r="BE68" s="143"/>
      <c r="BF68" s="143"/>
      <c r="BG68" s="143"/>
      <c r="BH68" s="143"/>
      <c r="BJ68" s="143"/>
      <c r="BK68" s="143"/>
      <c r="BL68" s="143"/>
      <c r="BM68" s="143"/>
      <c r="BN68" s="143"/>
      <c r="BO68" s="143"/>
      <c r="BP68" s="143"/>
      <c r="BQ68" s="143"/>
      <c r="BS68" s="143"/>
      <c r="BT68" s="143"/>
      <c r="BU68" s="143"/>
      <c r="BV68" s="143"/>
      <c r="BW68" s="143"/>
      <c r="BX68" s="143"/>
      <c r="BY68" s="143"/>
      <c r="BZ68" s="143"/>
      <c r="CB68" s="143"/>
      <c r="CC68" s="143"/>
      <c r="CD68" s="143"/>
      <c r="CE68" s="143"/>
      <c r="CF68" s="143"/>
      <c r="CG68" s="143"/>
      <c r="CH68" s="143"/>
      <c r="CI68" s="143"/>
      <c r="CK68" s="143"/>
      <c r="CL68" s="143"/>
      <c r="CM68" s="143"/>
      <c r="CN68" s="143"/>
      <c r="CO68" s="143"/>
      <c r="CP68" s="143"/>
      <c r="CQ68" s="143"/>
      <c r="CR68" s="143"/>
    </row>
    <row r="69" spans="2:96 15898:15898" ht="16.2" outlineLevel="1" thickBot="1" x14ac:dyDescent="0.35">
      <c r="B69" s="954" t="s">
        <v>47</v>
      </c>
      <c r="C69" s="955"/>
      <c r="D69" s="955"/>
      <c r="E69" s="955"/>
      <c r="F69" s="956"/>
      <c r="H69" s="957"/>
      <c r="I69" s="958"/>
      <c r="J69" s="958"/>
      <c r="K69" s="958"/>
      <c r="L69" s="958"/>
      <c r="M69" s="958"/>
      <c r="N69" s="958"/>
      <c r="O69" s="959"/>
      <c r="Q69" s="957"/>
      <c r="R69" s="958"/>
      <c r="S69" s="958"/>
      <c r="T69" s="958"/>
      <c r="U69" s="958"/>
      <c r="V69" s="958"/>
      <c r="W69" s="958"/>
      <c r="X69" s="959"/>
      <c r="Z69" s="957"/>
      <c r="AA69" s="958"/>
      <c r="AB69" s="958"/>
      <c r="AC69" s="958"/>
      <c r="AD69" s="958"/>
      <c r="AE69" s="958"/>
      <c r="AF69" s="958"/>
      <c r="AG69" s="959"/>
      <c r="AI69" s="863"/>
      <c r="AJ69" s="864"/>
      <c r="AK69" s="864"/>
      <c r="AL69" s="864"/>
      <c r="AM69" s="864"/>
      <c r="AN69" s="864"/>
      <c r="AO69" s="864"/>
      <c r="AP69" s="865"/>
      <c r="AR69" s="863"/>
      <c r="AS69" s="864"/>
      <c r="AT69" s="864"/>
      <c r="AU69" s="864"/>
      <c r="AV69" s="864"/>
      <c r="AW69" s="864"/>
      <c r="AX69" s="864"/>
      <c r="AY69" s="865"/>
      <c r="AZ69" s="107"/>
      <c r="BA69" s="863"/>
      <c r="BB69" s="864"/>
      <c r="BC69" s="864"/>
      <c r="BD69" s="864"/>
      <c r="BE69" s="864"/>
      <c r="BF69" s="864"/>
      <c r="BG69" s="864"/>
      <c r="BH69" s="865"/>
      <c r="BJ69" s="863"/>
      <c r="BK69" s="864"/>
      <c r="BL69" s="864"/>
      <c r="BM69" s="864"/>
      <c r="BN69" s="864"/>
      <c r="BO69" s="864"/>
      <c r="BP69" s="864"/>
      <c r="BQ69" s="865"/>
      <c r="BS69" s="863"/>
      <c r="BT69" s="864"/>
      <c r="BU69" s="864"/>
      <c r="BV69" s="864"/>
      <c r="BW69" s="864"/>
      <c r="BX69" s="864"/>
      <c r="BY69" s="864"/>
      <c r="BZ69" s="865"/>
      <c r="CB69" s="863"/>
      <c r="CC69" s="864"/>
      <c r="CD69" s="864"/>
      <c r="CE69" s="864"/>
      <c r="CF69" s="864"/>
      <c r="CG69" s="864"/>
      <c r="CH69" s="864"/>
      <c r="CI69" s="865"/>
      <c r="CK69" s="863"/>
      <c r="CL69" s="864"/>
      <c r="CM69" s="864"/>
      <c r="CN69" s="864"/>
      <c r="CO69" s="864"/>
      <c r="CP69" s="864"/>
      <c r="CQ69" s="864"/>
      <c r="CR69" s="865"/>
    </row>
    <row r="70" spans="2:96 15898:15898" outlineLevel="1" x14ac:dyDescent="0.3">
      <c r="B70" s="145" t="s">
        <v>100</v>
      </c>
      <c r="C70" s="146" t="s">
        <v>26</v>
      </c>
      <c r="D70" s="147" t="s">
        <v>101</v>
      </c>
      <c r="E70" s="86"/>
      <c r="F70" s="97" t="s">
        <v>37</v>
      </c>
      <c r="H70" s="18">
        <v>0</v>
      </c>
      <c r="I70" s="19">
        <v>32512.16</v>
      </c>
      <c r="J70" s="19">
        <v>4737.6000000000004</v>
      </c>
      <c r="K70" s="19">
        <v>4982.24</v>
      </c>
      <c r="L70" s="19">
        <v>4666.88</v>
      </c>
      <c r="M70" s="19">
        <v>3951.52</v>
      </c>
      <c r="N70" s="19">
        <v>3552.16</v>
      </c>
      <c r="O70" s="20">
        <f t="shared" ref="O70:O78" si="62">SUM(H70:N70)</f>
        <v>54402.559999999998</v>
      </c>
      <c r="Q70" s="18">
        <v>4921.76</v>
      </c>
      <c r="R70" s="19">
        <v>4917.76</v>
      </c>
      <c r="S70" s="19">
        <v>5191.5200000000004</v>
      </c>
      <c r="T70" s="19">
        <v>5342.72</v>
      </c>
      <c r="U70" s="19">
        <v>5020</v>
      </c>
      <c r="V70" s="19">
        <v>4225.92</v>
      </c>
      <c r="W70" s="19">
        <v>3717.44</v>
      </c>
      <c r="X70" s="20">
        <f t="shared" ref="X70:X78" si="63">SUM(Q70:W70)</f>
        <v>33337.120000000003</v>
      </c>
      <c r="Z70" s="18">
        <v>5144.96</v>
      </c>
      <c r="AA70" s="19">
        <v>5079.3599999999997</v>
      </c>
      <c r="AB70" s="19">
        <v>4580.8</v>
      </c>
      <c r="AC70" s="19">
        <v>5703.2</v>
      </c>
      <c r="AD70" s="19">
        <v>7430.72</v>
      </c>
      <c r="AE70" s="19">
        <v>6594.56</v>
      </c>
      <c r="AF70" s="19">
        <v>5736.48</v>
      </c>
      <c r="AG70" s="20">
        <f t="shared" ref="AG70:AG78" si="64">SUM(Z70:AF70)</f>
        <v>40270.080000000002</v>
      </c>
      <c r="AI70" s="88">
        <v>7396.8</v>
      </c>
      <c r="AJ70" s="148">
        <v>8091.68</v>
      </c>
      <c r="AK70" s="148">
        <v>7746.56</v>
      </c>
      <c r="AL70" s="148">
        <v>7495.52</v>
      </c>
      <c r="AM70" s="148">
        <v>7258.24</v>
      </c>
      <c r="AN70" s="148">
        <v>2164.64</v>
      </c>
      <c r="AO70" s="148">
        <v>1197.92</v>
      </c>
      <c r="AP70" s="149">
        <f t="shared" ref="AP70:AP77" si="65">SUM(AI70:AO70)</f>
        <v>41351.360000000001</v>
      </c>
      <c r="AR70" s="88">
        <v>1193.1199999999999</v>
      </c>
      <c r="AS70" s="148">
        <v>1857.44</v>
      </c>
      <c r="AT70" s="148">
        <v>1964.54</v>
      </c>
      <c r="AU70" s="148">
        <v>0</v>
      </c>
      <c r="AV70" s="148">
        <v>4537.7700000000004</v>
      </c>
      <c r="AW70" s="148">
        <v>214.85</v>
      </c>
      <c r="AX70" s="148">
        <v>296.81</v>
      </c>
      <c r="AY70" s="149">
        <f t="shared" ref="AY70:AY77" si="66">SUM(AR70:AX70)</f>
        <v>10064.530000000001</v>
      </c>
      <c r="AZ70" s="107"/>
      <c r="BA70" s="88">
        <v>1422.41</v>
      </c>
      <c r="BB70" s="148">
        <v>2347.4299999999998</v>
      </c>
      <c r="BC70" s="148">
        <v>2079.06</v>
      </c>
      <c r="BD70" s="148">
        <v>1726.67</v>
      </c>
      <c r="BE70" s="148">
        <v>1244.81</v>
      </c>
      <c r="BF70" s="148">
        <v>335.94</v>
      </c>
      <c r="BG70" s="148">
        <v>43.06</v>
      </c>
      <c r="BH70" s="149">
        <f t="shared" ref="BH70:BH77" si="67">SUM(BA70:BG70)</f>
        <v>9199.3799999999992</v>
      </c>
      <c r="BJ70" s="88">
        <v>2217.29</v>
      </c>
      <c r="BK70" s="148">
        <v>2425.71</v>
      </c>
      <c r="BL70" s="148">
        <v>2074.4299999999998</v>
      </c>
      <c r="BM70" s="148">
        <v>1773.35</v>
      </c>
      <c r="BN70" s="148">
        <v>1097.4100000000001</v>
      </c>
      <c r="BO70" s="148">
        <v>37.090000000000003</v>
      </c>
      <c r="BP70" s="148">
        <v>168.96</v>
      </c>
      <c r="BQ70" s="149">
        <f t="shared" ref="BQ70:BQ77" si="68">SUM(BJ70:BP70)</f>
        <v>9794.24</v>
      </c>
      <c r="BS70" s="88">
        <v>2125.2600000000002</v>
      </c>
      <c r="BT70" s="148">
        <v>2432.56</v>
      </c>
      <c r="BU70" s="148">
        <v>1999.34</v>
      </c>
      <c r="BV70" s="148">
        <v>1907.38</v>
      </c>
      <c r="BW70" s="148">
        <v>1654.85</v>
      </c>
      <c r="BX70" s="148">
        <v>941.87</v>
      </c>
      <c r="BY70" s="148">
        <v>469.98</v>
      </c>
      <c r="BZ70" s="149">
        <f t="shared" ref="BZ70:BZ77" si="69">SUM(BS70:BY70)</f>
        <v>11531.240000000002</v>
      </c>
      <c r="CB70" s="88">
        <v>1020.67</v>
      </c>
      <c r="CC70" s="148">
        <v>0</v>
      </c>
      <c r="CD70" s="148">
        <v>5897.47</v>
      </c>
      <c r="CE70" s="148">
        <v>1801.9</v>
      </c>
      <c r="CF70" s="148">
        <v>1182.5999999999999</v>
      </c>
      <c r="CG70" s="148">
        <v>891.06</v>
      </c>
      <c r="CH70" s="148">
        <v>269.7</v>
      </c>
      <c r="CI70" s="149">
        <f t="shared" ref="CI70:CI77" si="70">SUM(CB70:CH70)</f>
        <v>11063.400000000001</v>
      </c>
      <c r="CK70" s="88">
        <v>0</v>
      </c>
      <c r="CL70" s="148">
        <v>5078.24</v>
      </c>
      <c r="CM70" s="148"/>
      <c r="CN70" s="148"/>
      <c r="CO70" s="148"/>
      <c r="CP70" s="148"/>
      <c r="CQ70" s="148"/>
      <c r="CR70" s="149">
        <f t="shared" ref="CR70:CR77" si="71">SUM(CK70:CQ70)</f>
        <v>5078.24</v>
      </c>
      <c r="WML70" s="150"/>
    </row>
    <row r="71" spans="2:96 15898:15898" outlineLevel="1" x14ac:dyDescent="0.3">
      <c r="B71" s="145" t="s">
        <v>102</v>
      </c>
      <c r="C71" s="146" t="s">
        <v>26</v>
      </c>
      <c r="D71" s="147" t="s">
        <v>103</v>
      </c>
      <c r="E71" s="89"/>
      <c r="F71" s="87" t="s">
        <v>37</v>
      </c>
      <c r="H71" s="18">
        <v>0</v>
      </c>
      <c r="I71" s="19">
        <v>21769.47</v>
      </c>
      <c r="J71" s="19">
        <v>8410.11</v>
      </c>
      <c r="K71" s="19">
        <v>7646.59</v>
      </c>
      <c r="L71" s="19">
        <v>6297.6</v>
      </c>
      <c r="M71" s="19">
        <v>2577.02</v>
      </c>
      <c r="N71" s="19">
        <v>1498.62</v>
      </c>
      <c r="O71" s="20">
        <f t="shared" si="62"/>
        <v>48199.409999999996</v>
      </c>
      <c r="Q71" s="18">
        <v>8307.33</v>
      </c>
      <c r="R71" s="19">
        <v>9571.33</v>
      </c>
      <c r="S71" s="19">
        <v>9920.64</v>
      </c>
      <c r="T71" s="19">
        <v>8893.57</v>
      </c>
      <c r="U71" s="19">
        <v>5695.74</v>
      </c>
      <c r="V71" s="19">
        <v>2845.31</v>
      </c>
      <c r="W71" s="19">
        <v>1626.75</v>
      </c>
      <c r="X71" s="20">
        <f t="shared" si="63"/>
        <v>46860.669999999991</v>
      </c>
      <c r="Z71" s="18">
        <v>5333.38</v>
      </c>
      <c r="AA71" s="19">
        <v>9840.77</v>
      </c>
      <c r="AB71" s="19">
        <v>10163.969999999999</v>
      </c>
      <c r="AC71" s="19">
        <v>7372.03</v>
      </c>
      <c r="AD71" s="19">
        <v>4363.1400000000003</v>
      </c>
      <c r="AE71" s="19">
        <v>2170.11</v>
      </c>
      <c r="AF71" s="19">
        <v>1678.85</v>
      </c>
      <c r="AG71" s="20">
        <f t="shared" si="64"/>
        <v>40922.25</v>
      </c>
      <c r="AI71" s="18">
        <v>5850.75</v>
      </c>
      <c r="AJ71" s="19">
        <v>6389.25</v>
      </c>
      <c r="AK71" s="19">
        <v>6061.57</v>
      </c>
      <c r="AL71" s="19">
        <v>5633.54</v>
      </c>
      <c r="AM71" s="19">
        <v>4159.49</v>
      </c>
      <c r="AN71" s="19">
        <v>1555.33</v>
      </c>
      <c r="AO71" s="19">
        <v>603.78</v>
      </c>
      <c r="AP71" s="20">
        <f t="shared" si="65"/>
        <v>30253.71</v>
      </c>
      <c r="AR71" s="18">
        <v>645.25</v>
      </c>
      <c r="AS71" s="19">
        <v>7441.66</v>
      </c>
      <c r="AT71" s="19">
        <v>4873.34</v>
      </c>
      <c r="AU71" s="19">
        <v>0</v>
      </c>
      <c r="AV71" s="19">
        <v>11843.33</v>
      </c>
      <c r="AW71" s="19">
        <v>3414.66</v>
      </c>
      <c r="AX71" s="19">
        <v>2106.11</v>
      </c>
      <c r="AY71" s="20">
        <f t="shared" si="66"/>
        <v>30324.350000000002</v>
      </c>
      <c r="AZ71" s="107"/>
      <c r="BA71" s="18">
        <v>4145.92</v>
      </c>
      <c r="BB71" s="19">
        <v>9208.58</v>
      </c>
      <c r="BC71" s="19">
        <v>9318.66</v>
      </c>
      <c r="BD71" s="19">
        <v>5024.8999999999996</v>
      </c>
      <c r="BE71" s="19">
        <v>4832.8999999999996</v>
      </c>
      <c r="BF71" s="19">
        <v>2734.21</v>
      </c>
      <c r="BG71" s="19">
        <v>1102.5899999999999</v>
      </c>
      <c r="BH71" s="20">
        <f t="shared" si="67"/>
        <v>36367.759999999995</v>
      </c>
      <c r="BJ71" s="18">
        <v>5616.9</v>
      </c>
      <c r="BK71" s="19">
        <v>9943.68</v>
      </c>
      <c r="BL71" s="19">
        <v>10616.45</v>
      </c>
      <c r="BM71" s="19">
        <v>6266.88</v>
      </c>
      <c r="BN71" s="19">
        <v>4897.54</v>
      </c>
      <c r="BO71" s="19">
        <v>2510.34</v>
      </c>
      <c r="BP71" s="19">
        <v>1031.3</v>
      </c>
      <c r="BQ71" s="20">
        <f t="shared" si="68"/>
        <v>40883.089999999997</v>
      </c>
      <c r="BS71" s="18">
        <v>4524.67</v>
      </c>
      <c r="BT71" s="19">
        <v>9669.6299999999992</v>
      </c>
      <c r="BU71" s="19">
        <v>6472.7</v>
      </c>
      <c r="BV71" s="19">
        <v>4916.3500000000004</v>
      </c>
      <c r="BW71" s="19">
        <v>4493.57</v>
      </c>
      <c r="BX71" s="19">
        <v>3191.3</v>
      </c>
      <c r="BY71" s="19">
        <v>1648.13</v>
      </c>
      <c r="BZ71" s="20">
        <f t="shared" si="69"/>
        <v>34916.35</v>
      </c>
      <c r="CB71" s="18">
        <v>1959.94</v>
      </c>
      <c r="CC71" s="19">
        <v>0</v>
      </c>
      <c r="CD71" s="19">
        <v>19746.689999999999</v>
      </c>
      <c r="CE71" s="19">
        <v>6644.74</v>
      </c>
      <c r="CF71" s="19">
        <v>3887</v>
      </c>
      <c r="CG71" s="19">
        <v>1379.07</v>
      </c>
      <c r="CH71" s="19">
        <v>571.9</v>
      </c>
      <c r="CI71" s="20">
        <f t="shared" si="70"/>
        <v>34189.339999999997</v>
      </c>
      <c r="CK71" s="18">
        <v>0</v>
      </c>
      <c r="CL71" s="19">
        <v>13213.44</v>
      </c>
      <c r="CM71" s="19"/>
      <c r="CN71" s="19"/>
      <c r="CO71" s="19"/>
      <c r="CP71" s="19"/>
      <c r="CQ71" s="19"/>
      <c r="CR71" s="20">
        <f t="shared" si="71"/>
        <v>13213.44</v>
      </c>
      <c r="WML71" s="150"/>
    </row>
    <row r="72" spans="2:96 15898:15898" outlineLevel="1" x14ac:dyDescent="0.3">
      <c r="B72" s="145" t="s">
        <v>190</v>
      </c>
      <c r="C72" s="146" t="s">
        <v>26</v>
      </c>
      <c r="D72" s="147"/>
      <c r="E72" s="89"/>
      <c r="F72" s="87"/>
      <c r="H72" s="18"/>
      <c r="I72" s="19"/>
      <c r="J72" s="19"/>
      <c r="K72" s="19"/>
      <c r="L72" s="19"/>
      <c r="M72" s="19"/>
      <c r="N72" s="19"/>
      <c r="O72" s="20"/>
      <c r="Q72" s="18"/>
      <c r="R72" s="19"/>
      <c r="S72" s="19"/>
      <c r="T72" s="19"/>
      <c r="U72" s="19"/>
      <c r="V72" s="19"/>
      <c r="W72" s="19"/>
      <c r="X72" s="20"/>
      <c r="Z72" s="18"/>
      <c r="AA72" s="19"/>
      <c r="AB72" s="19"/>
      <c r="AC72" s="19"/>
      <c r="AD72" s="19"/>
      <c r="AE72" s="19"/>
      <c r="AF72" s="19"/>
      <c r="AG72" s="20"/>
      <c r="AI72" s="18"/>
      <c r="AJ72" s="19"/>
      <c r="AK72" s="19"/>
      <c r="AL72" s="19"/>
      <c r="AM72" s="19"/>
      <c r="AN72" s="19"/>
      <c r="AO72" s="19"/>
      <c r="AP72" s="20"/>
      <c r="AR72" s="18"/>
      <c r="AS72" s="19"/>
      <c r="AT72" s="19"/>
      <c r="AU72" s="19"/>
      <c r="AV72" s="19"/>
      <c r="AW72" s="19"/>
      <c r="AX72" s="19"/>
      <c r="AY72" s="20"/>
      <c r="AZ72" s="107"/>
      <c r="BA72" s="18"/>
      <c r="BB72" s="19"/>
      <c r="BC72" s="19"/>
      <c r="BD72" s="19"/>
      <c r="BE72" s="19"/>
      <c r="BF72" s="19"/>
      <c r="BG72" s="19"/>
      <c r="BH72" s="20"/>
      <c r="BJ72" s="18"/>
      <c r="BK72" s="19"/>
      <c r="BL72" s="19"/>
      <c r="BM72" s="19"/>
      <c r="BN72" s="19"/>
      <c r="BO72" s="19"/>
      <c r="BP72" s="19"/>
      <c r="BQ72" s="20"/>
      <c r="BS72" s="18">
        <v>1491.97</v>
      </c>
      <c r="BT72" s="19">
        <v>1241.47</v>
      </c>
      <c r="BU72" s="19">
        <v>1291.0899999999999</v>
      </c>
      <c r="BV72" s="19">
        <v>1111.8800000000001</v>
      </c>
      <c r="BW72" s="19">
        <v>911.59</v>
      </c>
      <c r="BX72" s="19">
        <v>874.25</v>
      </c>
      <c r="BY72" s="19">
        <v>79.16</v>
      </c>
      <c r="BZ72" s="20">
        <f t="shared" si="69"/>
        <v>7001.41</v>
      </c>
      <c r="CB72" s="18">
        <v>1865.59</v>
      </c>
      <c r="CC72" s="19">
        <v>1833.09</v>
      </c>
      <c r="CD72" s="19">
        <v>1245.1300000000001</v>
      </c>
      <c r="CE72" s="19">
        <v>1451.13</v>
      </c>
      <c r="CF72" s="19">
        <v>896.53</v>
      </c>
      <c r="CG72" s="19">
        <v>207.47</v>
      </c>
      <c r="CH72" s="19">
        <v>71.25</v>
      </c>
      <c r="CI72" s="20">
        <f t="shared" si="70"/>
        <v>7570.19</v>
      </c>
      <c r="CK72" s="18">
        <v>1746.91</v>
      </c>
      <c r="CL72" s="19">
        <v>1545.5</v>
      </c>
      <c r="CM72" s="19"/>
      <c r="CN72" s="19"/>
      <c r="CO72" s="19"/>
      <c r="CP72" s="19"/>
      <c r="CQ72" s="19"/>
      <c r="CR72" s="20">
        <f t="shared" si="71"/>
        <v>3292.41</v>
      </c>
      <c r="WML72" s="150"/>
    </row>
    <row r="73" spans="2:96 15898:15898" ht="14.25" customHeight="1" outlineLevel="1" x14ac:dyDescent="0.3">
      <c r="B73" s="145" t="s">
        <v>104</v>
      </c>
      <c r="C73" s="146" t="s">
        <v>26</v>
      </c>
      <c r="D73" s="147" t="s">
        <v>105</v>
      </c>
      <c r="E73" s="89"/>
      <c r="F73" s="87" t="s">
        <v>37</v>
      </c>
      <c r="H73" s="18">
        <v>0</v>
      </c>
      <c r="I73" s="19">
        <v>4635.0200000000004</v>
      </c>
      <c r="J73" s="19">
        <v>2637.36</v>
      </c>
      <c r="K73" s="19">
        <v>2609.04</v>
      </c>
      <c r="L73" s="19">
        <v>2424.9899999999998</v>
      </c>
      <c r="M73" s="19">
        <v>650.45000000000005</v>
      </c>
      <c r="N73" s="19">
        <v>195.89</v>
      </c>
      <c r="O73" s="20">
        <f t="shared" si="62"/>
        <v>13152.750000000002</v>
      </c>
      <c r="Q73" s="18">
        <v>1703.72</v>
      </c>
      <c r="R73" s="19">
        <v>2049.62</v>
      </c>
      <c r="S73" s="19">
        <v>2118.1999999999998</v>
      </c>
      <c r="T73" s="19">
        <v>2110.13</v>
      </c>
      <c r="U73" s="19">
        <v>1897.29</v>
      </c>
      <c r="V73" s="19">
        <v>326.79000000000002</v>
      </c>
      <c r="W73" s="19">
        <v>52</v>
      </c>
      <c r="X73" s="20">
        <f t="shared" si="63"/>
        <v>10257.75</v>
      </c>
      <c r="Z73" s="18">
        <v>2167.65</v>
      </c>
      <c r="AA73" s="19">
        <v>2134.27</v>
      </c>
      <c r="AB73" s="19">
        <v>2097.89</v>
      </c>
      <c r="AC73" s="19">
        <v>2078.19</v>
      </c>
      <c r="AD73" s="19">
        <v>1528.01</v>
      </c>
      <c r="AE73" s="19">
        <v>325.16000000000003</v>
      </c>
      <c r="AF73" s="19">
        <v>94.81</v>
      </c>
      <c r="AG73" s="20">
        <f t="shared" si="64"/>
        <v>10425.98</v>
      </c>
      <c r="AI73" s="18">
        <v>1770.92</v>
      </c>
      <c r="AJ73" s="19">
        <v>2157.4699999999998</v>
      </c>
      <c r="AK73" s="19">
        <v>2156.7600000000002</v>
      </c>
      <c r="AL73" s="19">
        <v>1980.99</v>
      </c>
      <c r="AM73" s="19">
        <v>1056.02</v>
      </c>
      <c r="AN73" s="19">
        <v>115.8</v>
      </c>
      <c r="AO73" s="19">
        <v>3.22</v>
      </c>
      <c r="AP73" s="20"/>
      <c r="AR73" s="18">
        <v>49.45</v>
      </c>
      <c r="AS73" s="19">
        <v>1724.76</v>
      </c>
      <c r="AT73" s="19">
        <v>1418.04</v>
      </c>
      <c r="AU73" s="19">
        <v>0</v>
      </c>
      <c r="AV73" s="19">
        <v>4454.74</v>
      </c>
      <c r="AW73" s="19">
        <v>206.95</v>
      </c>
      <c r="AX73" s="19">
        <v>70.88</v>
      </c>
      <c r="AY73" s="20">
        <f t="shared" si="66"/>
        <v>7924.82</v>
      </c>
      <c r="AZ73" s="107"/>
      <c r="BA73" s="18">
        <v>1491.89</v>
      </c>
      <c r="BB73" s="19">
        <v>2347.4299999999998</v>
      </c>
      <c r="BC73" s="19">
        <v>2100.36</v>
      </c>
      <c r="BD73" s="19">
        <v>2054.94</v>
      </c>
      <c r="BE73" s="19">
        <v>1664.21</v>
      </c>
      <c r="BF73" s="19">
        <v>346.82</v>
      </c>
      <c r="BG73" s="19">
        <v>61.61</v>
      </c>
      <c r="BH73" s="20">
        <f t="shared" si="67"/>
        <v>10067.260000000002</v>
      </c>
      <c r="BJ73" s="18">
        <v>2127.13</v>
      </c>
      <c r="BK73" s="19">
        <v>2433.9299999999998</v>
      </c>
      <c r="BL73" s="19">
        <v>2263.81</v>
      </c>
      <c r="BM73" s="19">
        <v>1797.69</v>
      </c>
      <c r="BN73" s="19">
        <v>924.72</v>
      </c>
      <c r="BO73" s="19">
        <v>3.47</v>
      </c>
      <c r="BP73" s="19">
        <v>90.6</v>
      </c>
      <c r="BQ73" s="20">
        <f t="shared" si="68"/>
        <v>9641.3499999999985</v>
      </c>
      <c r="BS73" s="18">
        <v>2192.0500000000002</v>
      </c>
      <c r="BT73" s="19">
        <v>2513.35</v>
      </c>
      <c r="BU73" s="19">
        <v>2134</v>
      </c>
      <c r="BV73" s="19">
        <v>1877.22</v>
      </c>
      <c r="BW73" s="19">
        <v>1813.79</v>
      </c>
      <c r="BX73" s="19">
        <v>819.84</v>
      </c>
      <c r="BY73" s="19">
        <v>130.36000000000001</v>
      </c>
      <c r="BZ73" s="20">
        <f t="shared" si="69"/>
        <v>11480.61</v>
      </c>
      <c r="CB73" s="18">
        <v>1060.52</v>
      </c>
      <c r="CC73" s="19">
        <v>0</v>
      </c>
      <c r="CD73" s="19">
        <v>2000</v>
      </c>
      <c r="CE73" s="19">
        <v>2058.11</v>
      </c>
      <c r="CF73" s="19">
        <v>1658.38</v>
      </c>
      <c r="CG73" s="19">
        <v>1157</v>
      </c>
      <c r="CH73" s="19">
        <v>186.26</v>
      </c>
      <c r="CI73" s="20">
        <f t="shared" si="70"/>
        <v>8120.27</v>
      </c>
      <c r="CK73" s="18">
        <v>0</v>
      </c>
      <c r="CL73" s="19">
        <v>2058.11</v>
      </c>
      <c r="CM73" s="19"/>
      <c r="CN73" s="19"/>
      <c r="CO73" s="19"/>
      <c r="CP73" s="19"/>
      <c r="CQ73" s="19"/>
      <c r="CR73" s="20">
        <f t="shared" si="71"/>
        <v>2058.11</v>
      </c>
    </row>
    <row r="74" spans="2:96 15898:15898" ht="14.25" customHeight="1" outlineLevel="1" x14ac:dyDescent="0.3">
      <c r="B74" s="145" t="s">
        <v>106</v>
      </c>
      <c r="C74" s="146" t="s">
        <v>26</v>
      </c>
      <c r="D74" s="147" t="s">
        <v>107</v>
      </c>
      <c r="E74" s="89"/>
      <c r="F74" s="87" t="s">
        <v>37</v>
      </c>
      <c r="H74" s="18">
        <v>0</v>
      </c>
      <c r="I74" s="19">
        <v>2920.3</v>
      </c>
      <c r="J74" s="19">
        <v>1338.67</v>
      </c>
      <c r="K74" s="19">
        <v>1330.66</v>
      </c>
      <c r="L74" s="19">
        <v>1123.4100000000001</v>
      </c>
      <c r="M74" s="19">
        <v>333.68</v>
      </c>
      <c r="N74" s="19">
        <v>96.05</v>
      </c>
      <c r="O74" s="20">
        <f t="shared" si="62"/>
        <v>7142.77</v>
      </c>
      <c r="Q74" s="18">
        <v>1434.78</v>
      </c>
      <c r="R74" s="19">
        <v>1053.1400000000001</v>
      </c>
      <c r="S74" s="19">
        <v>1180.3</v>
      </c>
      <c r="T74" s="19">
        <v>984.4</v>
      </c>
      <c r="U74" s="19">
        <v>1368.91</v>
      </c>
      <c r="V74" s="19">
        <v>441.12</v>
      </c>
      <c r="W74" s="19">
        <v>90.88</v>
      </c>
      <c r="X74" s="20">
        <f t="shared" si="63"/>
        <v>6553.53</v>
      </c>
      <c r="Z74" s="18">
        <v>1574.19</v>
      </c>
      <c r="AA74" s="19">
        <v>1362.82</v>
      </c>
      <c r="AB74" s="19">
        <v>1329.2</v>
      </c>
      <c r="AC74" s="19">
        <v>1486.94</v>
      </c>
      <c r="AD74" s="19">
        <v>941.44</v>
      </c>
      <c r="AE74" s="19">
        <v>285.18</v>
      </c>
      <c r="AF74" s="19">
        <v>65.34</v>
      </c>
      <c r="AG74" s="20">
        <f t="shared" si="64"/>
        <v>7045.1100000000006</v>
      </c>
      <c r="AI74" s="18">
        <v>1536.56</v>
      </c>
      <c r="AJ74" s="19">
        <v>1832.9</v>
      </c>
      <c r="AK74" s="19">
        <v>1730.14</v>
      </c>
      <c r="AL74" s="19">
        <v>1540.24</v>
      </c>
      <c r="AM74" s="19">
        <v>1134.1400000000001</v>
      </c>
      <c r="AN74" s="19">
        <v>312.77</v>
      </c>
      <c r="AO74" s="19">
        <v>44.94</v>
      </c>
      <c r="AP74" s="20">
        <f t="shared" si="65"/>
        <v>8131.69</v>
      </c>
      <c r="AR74" s="18">
        <v>83.3</v>
      </c>
      <c r="AS74" s="19">
        <v>2061.52</v>
      </c>
      <c r="AT74" s="19">
        <v>1293.8699999999999</v>
      </c>
      <c r="AU74" s="19">
        <v>0</v>
      </c>
      <c r="AV74" s="19">
        <v>3318.21</v>
      </c>
      <c r="AW74" s="19">
        <v>369.06</v>
      </c>
      <c r="AX74" s="19">
        <v>191.79</v>
      </c>
      <c r="AY74" s="20">
        <f t="shared" si="66"/>
        <v>7317.75</v>
      </c>
      <c r="AZ74" s="107"/>
      <c r="BA74" s="18">
        <v>1291.04</v>
      </c>
      <c r="BB74" s="19">
        <v>1378.05</v>
      </c>
      <c r="BC74" s="19">
        <v>1018.21</v>
      </c>
      <c r="BD74" s="19">
        <v>1312.61</v>
      </c>
      <c r="BE74" s="19">
        <v>912.38</v>
      </c>
      <c r="BF74" s="19">
        <v>154.11000000000001</v>
      </c>
      <c r="BG74" s="19">
        <v>67.52</v>
      </c>
      <c r="BH74" s="20">
        <f t="shared" si="67"/>
        <v>6133.92</v>
      </c>
      <c r="BJ74" s="18">
        <v>1698.85</v>
      </c>
      <c r="BK74" s="19">
        <v>1506.08</v>
      </c>
      <c r="BL74" s="19">
        <v>1093</v>
      </c>
      <c r="BM74" s="19">
        <v>1390.66</v>
      </c>
      <c r="BN74" s="19">
        <v>1075</v>
      </c>
      <c r="BO74" s="19">
        <v>571.14</v>
      </c>
      <c r="BP74" s="19">
        <v>104.13</v>
      </c>
      <c r="BQ74" s="20">
        <f t="shared" si="68"/>
        <v>7438.8600000000006</v>
      </c>
      <c r="BS74" s="18">
        <v>1656.7</v>
      </c>
      <c r="BT74" s="19">
        <v>1117.6300000000001</v>
      </c>
      <c r="BU74" s="19">
        <v>1602.21</v>
      </c>
      <c r="BV74" s="19">
        <v>1394.56</v>
      </c>
      <c r="BW74" s="19">
        <v>1035.6199999999999</v>
      </c>
      <c r="BX74" s="19">
        <v>789.76</v>
      </c>
      <c r="BY74" s="19">
        <v>141.02000000000001</v>
      </c>
      <c r="BZ74" s="20">
        <f t="shared" si="69"/>
        <v>7737.5000000000009</v>
      </c>
      <c r="CB74" s="18">
        <v>701.89</v>
      </c>
      <c r="CC74" s="19">
        <v>0</v>
      </c>
      <c r="CD74" s="19"/>
      <c r="CE74" s="19">
        <v>1654.14</v>
      </c>
      <c r="CF74" s="19">
        <v>1041.3399999999999</v>
      </c>
      <c r="CG74" s="19">
        <v>304.77</v>
      </c>
      <c r="CH74" s="19">
        <v>24.06</v>
      </c>
      <c r="CI74" s="20">
        <f t="shared" si="70"/>
        <v>3726.2</v>
      </c>
      <c r="CK74" s="18">
        <v>0</v>
      </c>
      <c r="CL74" s="19">
        <v>1654.14</v>
      </c>
      <c r="CM74" s="19"/>
      <c r="CN74" s="19"/>
      <c r="CO74" s="19"/>
      <c r="CP74" s="19"/>
      <c r="CQ74" s="19"/>
      <c r="CR74" s="20">
        <f t="shared" si="71"/>
        <v>1654.14</v>
      </c>
    </row>
    <row r="75" spans="2:96 15898:15898" outlineLevel="1" x14ac:dyDescent="0.3">
      <c r="B75" s="145" t="s">
        <v>108</v>
      </c>
      <c r="C75" s="146" t="s">
        <v>26</v>
      </c>
      <c r="D75" s="147" t="s">
        <v>109</v>
      </c>
      <c r="E75" s="89"/>
      <c r="F75" s="87" t="s">
        <v>37</v>
      </c>
      <c r="H75" s="18">
        <f>17469.52/100+2075.33</f>
        <v>2250.0252</v>
      </c>
      <c r="I75" s="19">
        <f>6933.05+35319.41/100</f>
        <v>7286.2440999999999</v>
      </c>
      <c r="J75" s="19">
        <f>4148.36+27701.71/100</f>
        <v>4425.3770999999997</v>
      </c>
      <c r="K75" s="19">
        <f>3873.07+26316.66/10</f>
        <v>6504.7360000000008</v>
      </c>
      <c r="L75" s="19">
        <f>2627.1+21795.79/10</f>
        <v>4806.6790000000001</v>
      </c>
      <c r="M75" s="19">
        <f>514.56+6300.32/10</f>
        <v>1144.5919999999999</v>
      </c>
      <c r="N75" s="19">
        <f>278.3+2272.81/10</f>
        <v>505.58100000000002</v>
      </c>
      <c r="O75" s="20">
        <f t="shared" si="62"/>
        <v>26923.234400000001</v>
      </c>
      <c r="Q75" s="18">
        <f>24042/10+4107.68</f>
        <v>6511.88</v>
      </c>
      <c r="R75" s="19">
        <f>4516.33+27875.19/10</f>
        <v>7303.8490000000002</v>
      </c>
      <c r="S75" s="19">
        <f>8027.76+4498.48</f>
        <v>12526.24</v>
      </c>
      <c r="T75" s="19">
        <f>26094.18/10+4260.01</f>
        <v>6869.4279999999999</v>
      </c>
      <c r="U75" s="19">
        <f>45518.98/10</f>
        <v>4551.8980000000001</v>
      </c>
      <c r="V75" s="19">
        <f>1189.66</f>
        <v>1189.6600000000001</v>
      </c>
      <c r="W75" s="19">
        <f xml:space="preserve"> 915.2</f>
        <v>915.2</v>
      </c>
      <c r="X75" s="20">
        <f t="shared" si="63"/>
        <v>39868.154999999999</v>
      </c>
      <c r="Z75" s="18">
        <f>26681.73/10+20044.64/10</f>
        <v>4672.6369999999997</v>
      </c>
      <c r="AA75" s="19">
        <f>6053.17+28000/10</f>
        <v>8853.17</v>
      </c>
      <c r="AB75" s="19">
        <f>27274.88/10+6093.97</f>
        <v>8821.4580000000005</v>
      </c>
      <c r="AC75" s="19">
        <f>5549.76+4156.16</f>
        <v>9705.92</v>
      </c>
      <c r="AD75" s="19">
        <f>3647.71+1656.53</f>
        <v>5304.24</v>
      </c>
      <c r="AE75" s="19">
        <f xml:space="preserve"> 10.8 + 813.36</f>
        <v>824.16</v>
      </c>
      <c r="AF75" s="19">
        <f xml:space="preserve"> 254+ 17.88</f>
        <v>271.88</v>
      </c>
      <c r="AG75" s="20">
        <f t="shared" si="64"/>
        <v>38453.464999999997</v>
      </c>
      <c r="AI75" s="18">
        <f>4831.74+5185.42</f>
        <v>10017.16</v>
      </c>
      <c r="AJ75" s="19">
        <f>6455.88+6070.18</f>
        <v>12526.060000000001</v>
      </c>
      <c r="AK75" s="19">
        <f>6436.57+6057.07</f>
        <v>12493.64</v>
      </c>
      <c r="AL75" s="19">
        <f>5262.19+5873.89</f>
        <v>11136.08</v>
      </c>
      <c r="AM75" s="19">
        <f>2903.07+2776.35</f>
        <v>5679.42</v>
      </c>
      <c r="AN75" s="19">
        <f>580.58+528.46</f>
        <v>1109.04</v>
      </c>
      <c r="AO75" s="19">
        <f>1.23+14.21</f>
        <v>15.440000000000001</v>
      </c>
      <c r="AP75" s="20">
        <f t="shared" ref="AP75" si="72">SUM(AI75:AO75)</f>
        <v>52976.840000000004</v>
      </c>
      <c r="AR75" s="18">
        <f>256.24+303.47</f>
        <v>559.71</v>
      </c>
      <c r="AS75" s="19">
        <f>5198.99+5243.68</f>
        <v>10442.67</v>
      </c>
      <c r="AT75" s="19">
        <f>4457.83+4645.07</f>
        <v>9102.9</v>
      </c>
      <c r="AU75" s="19">
        <f>2028.83+2946.97</f>
        <v>4975.7999999999993</v>
      </c>
      <c r="AV75" s="19">
        <f>8139.84+5365.55</f>
        <v>13505.39</v>
      </c>
      <c r="AW75" s="19">
        <f>1484.17+1064.89</f>
        <v>2549.0600000000004</v>
      </c>
      <c r="AX75" s="19">
        <f xml:space="preserve"> 555.23+434.31</f>
        <v>989.54</v>
      </c>
      <c r="AY75" s="20">
        <f t="shared" si="66"/>
        <v>42125.07</v>
      </c>
      <c r="AZ75" s="107"/>
      <c r="BA75" s="18">
        <f>3671.21+3761.87</f>
        <v>7433.08</v>
      </c>
      <c r="BB75" s="19">
        <f>5511.32+5238.29</f>
        <v>10749.61</v>
      </c>
      <c r="BC75" s="19">
        <f>5276.68+4939.91</f>
        <v>10216.59</v>
      </c>
      <c r="BD75" s="19">
        <f>5051.95+4066.38</f>
        <v>9118.33</v>
      </c>
      <c r="BE75" s="19">
        <f>3347.01+2884.78</f>
        <v>6231.7900000000009</v>
      </c>
      <c r="BF75" s="19">
        <f xml:space="preserve"> 821.41+ 475.26</f>
        <v>1296.67</v>
      </c>
      <c r="BG75" s="19">
        <f xml:space="preserve"> 243.34+ 253.94</f>
        <v>497.28</v>
      </c>
      <c r="BH75" s="20">
        <f t="shared" si="67"/>
        <v>45543.35</v>
      </c>
      <c r="BJ75" s="18">
        <f>5134.41+5411.38</f>
        <v>10545.79</v>
      </c>
      <c r="BK75" s="19">
        <f>5849.71+5300.49</f>
        <v>11150.2</v>
      </c>
      <c r="BL75" s="19" t="s">
        <v>110</v>
      </c>
      <c r="BM75" s="19">
        <f>5407.93+5067.13</f>
        <v>10475.060000000001</v>
      </c>
      <c r="BN75" s="19">
        <f>2649.08+2839.04</f>
        <v>5488.12</v>
      </c>
      <c r="BO75" s="19">
        <f>1250.64+ 860.33</f>
        <v>2110.9700000000003</v>
      </c>
      <c r="BP75" s="19">
        <f xml:space="preserve"> 437.65+ 493.68</f>
        <v>931.32999999999993</v>
      </c>
      <c r="BQ75" s="20">
        <f t="shared" si="68"/>
        <v>40701.470000000008</v>
      </c>
      <c r="BS75" s="18">
        <f>6071.28+5393.05</f>
        <v>11464.33</v>
      </c>
      <c r="BT75" s="19">
        <f>6439.78+5781.99</f>
        <v>12221.77</v>
      </c>
      <c r="BU75" s="19">
        <f>5952.55+5966.14</f>
        <v>11918.69</v>
      </c>
      <c r="BV75" s="19">
        <f>5450.01+5274.08</f>
        <v>10724.09</v>
      </c>
      <c r="BW75" s="19">
        <f>3523.57+4234.67</f>
        <v>7758.24</v>
      </c>
      <c r="BX75" s="19">
        <f>1798.67+1337.49</f>
        <v>3136.16</v>
      </c>
      <c r="BY75" s="19">
        <f xml:space="preserve"> 623+ 287.39</f>
        <v>910.39</v>
      </c>
      <c r="BZ75" s="20">
        <f t="shared" si="69"/>
        <v>58133.67</v>
      </c>
      <c r="CB75" s="18">
        <f>3787.88+4483.03</f>
        <v>8270.91</v>
      </c>
      <c r="CC75" s="19">
        <f>3742.22+2186.26</f>
        <v>5928.48</v>
      </c>
      <c r="CD75" s="19">
        <f>12904.25+8483.84</f>
        <v>21388.09</v>
      </c>
      <c r="CE75" s="19">
        <f>5127.29+4488</f>
        <v>9615.2900000000009</v>
      </c>
      <c r="CF75" s="19">
        <f>2832.76+3383.55</f>
        <v>6216.31</v>
      </c>
      <c r="CG75" s="19">
        <f xml:space="preserve"> 639.8+ 827.17</f>
        <v>1466.9699999999998</v>
      </c>
      <c r="CH75" s="19">
        <f>329.47+ 185.05</f>
        <v>514.52</v>
      </c>
      <c r="CI75" s="20">
        <f t="shared" si="70"/>
        <v>53400.569999999992</v>
      </c>
      <c r="CK75" s="18">
        <f>2519.85+1990.43</f>
        <v>4510.28</v>
      </c>
      <c r="CL75" s="19">
        <f>5127.29+4488</f>
        <v>9615.2900000000009</v>
      </c>
      <c r="CM75" s="19"/>
      <c r="CN75" s="19"/>
      <c r="CO75" s="19"/>
      <c r="CP75" s="19"/>
      <c r="CQ75" s="19"/>
      <c r="CR75" s="20">
        <f t="shared" si="71"/>
        <v>14125.57</v>
      </c>
    </row>
    <row r="76" spans="2:96 15898:15898" outlineLevel="1" x14ac:dyDescent="0.3">
      <c r="B76" s="145" t="s">
        <v>111</v>
      </c>
      <c r="C76" s="146" t="s">
        <v>26</v>
      </c>
      <c r="D76" s="147" t="s">
        <v>112</v>
      </c>
      <c r="E76" s="89"/>
      <c r="F76" s="87" t="s">
        <v>37</v>
      </c>
      <c r="H76" s="18">
        <v>0</v>
      </c>
      <c r="I76" s="19">
        <v>2061.59</v>
      </c>
      <c r="J76" s="19">
        <v>466.5</v>
      </c>
      <c r="K76" s="19">
        <v>442.46</v>
      </c>
      <c r="L76" s="19">
        <v>361.4</v>
      </c>
      <c r="M76" s="19">
        <v>228.61</v>
      </c>
      <c r="N76" s="19">
        <v>202.09</v>
      </c>
      <c r="O76" s="20">
        <f t="shared" si="62"/>
        <v>3762.6500000000005</v>
      </c>
      <c r="Q76" s="18">
        <v>365.36</v>
      </c>
      <c r="R76" s="19">
        <v>478.74</v>
      </c>
      <c r="S76" s="19">
        <v>494.93</v>
      </c>
      <c r="T76" s="19">
        <v>455.95</v>
      </c>
      <c r="U76" s="19">
        <v>363</v>
      </c>
      <c r="V76" s="19">
        <v>239.92</v>
      </c>
      <c r="W76" s="19">
        <v>199.41</v>
      </c>
      <c r="X76" s="20">
        <f t="shared" si="63"/>
        <v>2597.31</v>
      </c>
      <c r="Z76" s="18">
        <v>454.81</v>
      </c>
      <c r="AA76" s="19">
        <v>434.03</v>
      </c>
      <c r="AB76" s="19">
        <v>421.49</v>
      </c>
      <c r="AC76" s="19">
        <v>597.16999999999996</v>
      </c>
      <c r="AD76" s="19">
        <v>654.37</v>
      </c>
      <c r="AE76" s="19">
        <v>308.08999999999997</v>
      </c>
      <c r="AF76" s="19">
        <v>200.19</v>
      </c>
      <c r="AG76" s="20">
        <f t="shared" si="64"/>
        <v>3070.15</v>
      </c>
      <c r="AI76" s="18">
        <v>726.22</v>
      </c>
      <c r="AJ76" s="19">
        <v>981.87</v>
      </c>
      <c r="AK76" s="19">
        <v>954.87</v>
      </c>
      <c r="AL76" s="19">
        <v>916.4</v>
      </c>
      <c r="AM76" s="19">
        <v>560.79</v>
      </c>
      <c r="AN76" s="19">
        <v>349.37</v>
      </c>
      <c r="AO76" s="19">
        <v>188.13</v>
      </c>
      <c r="AP76" s="20">
        <f t="shared" si="65"/>
        <v>4677.6499999999996</v>
      </c>
      <c r="AR76" s="18">
        <v>209.3</v>
      </c>
      <c r="AS76" s="19">
        <v>2085.2399999999998</v>
      </c>
      <c r="AT76" s="19">
        <v>1293.3900000000001</v>
      </c>
      <c r="AU76" s="19">
        <v>0</v>
      </c>
      <c r="AV76" s="19">
        <v>891.63</v>
      </c>
      <c r="AW76" s="19">
        <v>341.66</v>
      </c>
      <c r="AX76" s="19">
        <v>330.76</v>
      </c>
      <c r="AY76" s="20">
        <f t="shared" si="66"/>
        <v>5151.9800000000005</v>
      </c>
      <c r="AZ76" s="107"/>
      <c r="BA76" s="18">
        <v>298.35000000000002</v>
      </c>
      <c r="BB76" s="19">
        <v>387.69</v>
      </c>
      <c r="BC76" s="19">
        <v>382.62</v>
      </c>
      <c r="BD76" s="19">
        <v>379.29</v>
      </c>
      <c r="BE76" s="19">
        <v>377.34</v>
      </c>
      <c r="BF76" s="19">
        <v>327.18</v>
      </c>
      <c r="BG76" s="19">
        <v>322.66000000000003</v>
      </c>
      <c r="BH76" s="20">
        <f t="shared" si="67"/>
        <v>2475.1299999999997</v>
      </c>
      <c r="BJ76" s="18">
        <v>392.89</v>
      </c>
      <c r="BK76" s="19">
        <v>395.55</v>
      </c>
      <c r="BL76" s="19">
        <v>377.65</v>
      </c>
      <c r="BM76" s="19">
        <v>364.35</v>
      </c>
      <c r="BN76" s="19">
        <v>364.44</v>
      </c>
      <c r="BO76" s="19">
        <v>319.91000000000003</v>
      </c>
      <c r="BP76" s="19">
        <v>305.35000000000002</v>
      </c>
      <c r="BQ76" s="20">
        <f t="shared" si="68"/>
        <v>2520.14</v>
      </c>
      <c r="BS76" s="18">
        <v>378.6</v>
      </c>
      <c r="BT76" s="19">
        <v>380.69</v>
      </c>
      <c r="BU76" s="19">
        <v>367.18</v>
      </c>
      <c r="BV76" s="19">
        <v>362.94</v>
      </c>
      <c r="BW76" s="19">
        <v>363.81</v>
      </c>
      <c r="BX76" s="19">
        <v>333.08</v>
      </c>
      <c r="BY76" s="19">
        <v>298</v>
      </c>
      <c r="BZ76" s="20">
        <f t="shared" si="69"/>
        <v>2484.3000000000002</v>
      </c>
      <c r="CB76" s="18">
        <v>215.14</v>
      </c>
      <c r="CC76" s="19">
        <v>0</v>
      </c>
      <c r="CD76" s="19">
        <v>987.47</v>
      </c>
      <c r="CE76" s="19">
        <v>371.77</v>
      </c>
      <c r="CF76" s="19">
        <v>373.43</v>
      </c>
      <c r="CG76" s="19">
        <v>316.91000000000003</v>
      </c>
      <c r="CH76" s="19">
        <v>130.66</v>
      </c>
      <c r="CI76" s="20">
        <f t="shared" si="70"/>
        <v>2395.38</v>
      </c>
      <c r="CK76" s="18">
        <v>0</v>
      </c>
      <c r="CL76" s="19">
        <v>927.42</v>
      </c>
      <c r="CM76" s="19"/>
      <c r="CN76" s="19"/>
      <c r="CO76" s="19"/>
      <c r="CP76" s="19"/>
      <c r="CQ76" s="19"/>
      <c r="CR76" s="20">
        <f t="shared" si="71"/>
        <v>927.42</v>
      </c>
    </row>
    <row r="77" spans="2:96 15898:15898" ht="15" customHeight="1" outlineLevel="1" x14ac:dyDescent="0.3">
      <c r="B77" s="145" t="s">
        <v>113</v>
      </c>
      <c r="C77" s="146" t="s">
        <v>30</v>
      </c>
      <c r="D77" s="146"/>
      <c r="E77" s="89">
        <v>20</v>
      </c>
      <c r="F77" s="97" t="s">
        <v>37</v>
      </c>
      <c r="H77" s="18">
        <v>20</v>
      </c>
      <c r="I77" s="19">
        <v>20</v>
      </c>
      <c r="J77" s="19">
        <v>20</v>
      </c>
      <c r="K77" s="19">
        <v>20</v>
      </c>
      <c r="L77" s="19">
        <v>20</v>
      </c>
      <c r="M77" s="19">
        <v>17</v>
      </c>
      <c r="N77" s="19">
        <v>0</v>
      </c>
      <c r="O77" s="20">
        <f t="shared" si="62"/>
        <v>117</v>
      </c>
      <c r="Q77" s="18">
        <v>19</v>
      </c>
      <c r="R77" s="19">
        <v>22</v>
      </c>
      <c r="S77" s="19">
        <v>20</v>
      </c>
      <c r="T77" s="19">
        <v>19</v>
      </c>
      <c r="U77" s="19">
        <v>18</v>
      </c>
      <c r="V77" s="19">
        <v>13</v>
      </c>
      <c r="W77" s="19">
        <v>0</v>
      </c>
      <c r="X77" s="20">
        <f t="shared" si="63"/>
        <v>111</v>
      </c>
      <c r="Z77" s="18">
        <v>21</v>
      </c>
      <c r="AA77" s="19">
        <v>19</v>
      </c>
      <c r="AB77" s="19">
        <v>19</v>
      </c>
      <c r="AC77" s="19">
        <v>20</v>
      </c>
      <c r="AD77" s="19"/>
      <c r="AE77" s="19"/>
      <c r="AF77" s="19"/>
      <c r="AG77" s="20">
        <f t="shared" si="64"/>
        <v>79</v>
      </c>
      <c r="AI77" s="18">
        <v>19</v>
      </c>
      <c r="AJ77" s="19">
        <v>22</v>
      </c>
      <c r="AK77" s="19"/>
      <c r="AL77" s="19">
        <v>18</v>
      </c>
      <c r="AM77" s="19"/>
      <c r="AN77" s="19"/>
      <c r="AO77" s="19"/>
      <c r="AP77" s="20">
        <f t="shared" si="65"/>
        <v>59</v>
      </c>
      <c r="AR77" s="18"/>
      <c r="AS77" s="19">
        <v>21</v>
      </c>
      <c r="AT77" s="19">
        <v>19</v>
      </c>
      <c r="AU77" s="19">
        <v>20</v>
      </c>
      <c r="AV77" s="19"/>
      <c r="AW77" s="19"/>
      <c r="AX77" s="19"/>
      <c r="AY77" s="20">
        <f t="shared" si="66"/>
        <v>60</v>
      </c>
      <c r="AZ77" s="107"/>
      <c r="BA77" s="18"/>
      <c r="BB77" s="19">
        <v>19</v>
      </c>
      <c r="BC77" s="19">
        <v>20</v>
      </c>
      <c r="BD77" s="19">
        <v>33</v>
      </c>
      <c r="BE77" s="19">
        <v>24</v>
      </c>
      <c r="BF77" s="19">
        <v>1</v>
      </c>
      <c r="BG77" s="19">
        <v>0</v>
      </c>
      <c r="BH77" s="20">
        <f t="shared" si="67"/>
        <v>97</v>
      </c>
      <c r="BJ77" s="18">
        <v>20</v>
      </c>
      <c r="BK77" s="19">
        <v>22</v>
      </c>
      <c r="BL77" s="19">
        <v>19</v>
      </c>
      <c r="BM77" s="19">
        <v>18</v>
      </c>
      <c r="BN77" s="19">
        <v>18</v>
      </c>
      <c r="BO77" s="19">
        <v>17</v>
      </c>
      <c r="BP77" s="19">
        <v>0</v>
      </c>
      <c r="BQ77" s="20">
        <f t="shared" si="68"/>
        <v>114</v>
      </c>
      <c r="BS77" s="18">
        <v>20</v>
      </c>
      <c r="BT77" s="19">
        <v>23</v>
      </c>
      <c r="BU77" s="19"/>
      <c r="BV77" s="19">
        <v>19</v>
      </c>
      <c r="BW77" s="19">
        <v>20</v>
      </c>
      <c r="BX77" s="19">
        <v>18</v>
      </c>
      <c r="BY77" s="19">
        <v>3</v>
      </c>
      <c r="BZ77" s="20">
        <f t="shared" si="69"/>
        <v>103</v>
      </c>
      <c r="CB77" s="18">
        <v>20</v>
      </c>
      <c r="CC77" s="19">
        <v>14</v>
      </c>
      <c r="CD77" s="19">
        <v>22</v>
      </c>
      <c r="CE77" s="19">
        <v>20</v>
      </c>
      <c r="CF77" s="19"/>
      <c r="CG77" s="19"/>
      <c r="CH77" s="19"/>
      <c r="CI77" s="20">
        <f t="shared" si="70"/>
        <v>76</v>
      </c>
      <c r="CK77" s="18">
        <v>19</v>
      </c>
      <c r="CL77" s="19">
        <v>21</v>
      </c>
      <c r="CM77" s="19"/>
      <c r="CN77" s="19"/>
      <c r="CO77" s="19"/>
      <c r="CP77" s="19"/>
      <c r="CQ77" s="19"/>
      <c r="CR77" s="20">
        <f t="shared" si="71"/>
        <v>40</v>
      </c>
    </row>
    <row r="78" spans="2:96 15898:15898" ht="15" customHeight="1" outlineLevel="1" thickBot="1" x14ac:dyDescent="0.35">
      <c r="B78" s="151" t="s">
        <v>114</v>
      </c>
      <c r="C78" s="152" t="s">
        <v>115</v>
      </c>
      <c r="D78" s="152"/>
      <c r="E78" s="92"/>
      <c r="F78" s="87" t="str">
        <f t="shared" ref="F78" si="73">IF(R78&gt;$E78,(R78/$E78)-100%,"OK")</f>
        <v>OK</v>
      </c>
      <c r="H78" s="23">
        <v>0</v>
      </c>
      <c r="I78" s="24">
        <v>0</v>
      </c>
      <c r="J78" s="24">
        <v>0</v>
      </c>
      <c r="K78" s="24">
        <v>0</v>
      </c>
      <c r="L78" s="24">
        <v>4</v>
      </c>
      <c r="M78" s="24">
        <v>2</v>
      </c>
      <c r="N78" s="24">
        <v>0</v>
      </c>
      <c r="O78" s="25">
        <f t="shared" si="62"/>
        <v>6</v>
      </c>
      <c r="Q78" s="23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5">
        <f t="shared" si="63"/>
        <v>0</v>
      </c>
      <c r="Z78" s="23"/>
      <c r="AA78" s="24">
        <v>0</v>
      </c>
      <c r="AB78" s="24"/>
      <c r="AC78" s="24"/>
      <c r="AD78" s="24"/>
      <c r="AE78" s="24"/>
      <c r="AF78" s="24"/>
      <c r="AG78" s="25">
        <f t="shared" si="64"/>
        <v>0</v>
      </c>
      <c r="AI78" s="23">
        <v>0</v>
      </c>
      <c r="AJ78" s="24">
        <v>0</v>
      </c>
      <c r="AK78" s="24"/>
      <c r="AL78" s="24"/>
      <c r="AM78" s="24"/>
      <c r="AN78" s="24"/>
      <c r="AO78" s="24"/>
      <c r="AP78" s="25">
        <f t="shared" ref="AP78" si="74">SUM(AI78:AO78)</f>
        <v>0</v>
      </c>
      <c r="AR78" s="23"/>
      <c r="AS78" s="24">
        <v>0</v>
      </c>
      <c r="AT78" s="24">
        <v>0</v>
      </c>
      <c r="AU78" s="24">
        <v>2</v>
      </c>
      <c r="AV78" s="24">
        <v>8</v>
      </c>
      <c r="AW78" s="24">
        <v>0</v>
      </c>
      <c r="AX78" s="24">
        <v>0</v>
      </c>
      <c r="AY78" s="25">
        <f t="shared" ref="AY78" si="75">SUM(AR78:AX78)</f>
        <v>10</v>
      </c>
      <c r="AZ78" s="107"/>
      <c r="BA78" s="23"/>
      <c r="BB78" s="24"/>
      <c r="BC78" s="24"/>
      <c r="BD78" s="24"/>
      <c r="BE78" s="24"/>
      <c r="BF78" s="24"/>
      <c r="BG78" s="24"/>
      <c r="BH78" s="25">
        <f t="shared" ref="BH78" si="76">SUM(BA78:BG78)</f>
        <v>0</v>
      </c>
      <c r="BJ78" s="23">
        <v>0</v>
      </c>
      <c r="BK78" s="24">
        <v>0</v>
      </c>
      <c r="BL78" s="24">
        <v>2</v>
      </c>
      <c r="BM78" s="24">
        <v>5</v>
      </c>
      <c r="BN78" s="24">
        <v>0</v>
      </c>
      <c r="BO78" s="24">
        <v>0</v>
      </c>
      <c r="BP78" s="24">
        <v>0</v>
      </c>
      <c r="BQ78" s="25">
        <f t="shared" ref="BQ78" si="77">SUM(BJ78:BP78)</f>
        <v>7</v>
      </c>
      <c r="BS78" s="23">
        <v>0</v>
      </c>
      <c r="BT78" s="24">
        <v>0</v>
      </c>
      <c r="BU78" s="24"/>
      <c r="BV78" s="24"/>
      <c r="BW78" s="24"/>
      <c r="BX78" s="24"/>
      <c r="BY78" s="24"/>
      <c r="BZ78" s="25">
        <f t="shared" ref="BZ78" si="78">SUM(BS78:BY78)</f>
        <v>0</v>
      </c>
      <c r="CB78" s="23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5">
        <f t="shared" ref="CI78" si="79">SUM(CB78:CH78)</f>
        <v>0</v>
      </c>
      <c r="CK78" s="23"/>
      <c r="CL78" s="24"/>
      <c r="CM78" s="24"/>
      <c r="CN78" s="24"/>
      <c r="CO78" s="24"/>
      <c r="CP78" s="24"/>
      <c r="CQ78" s="24"/>
      <c r="CR78" s="25">
        <f t="shared" ref="CR78" si="80">SUM(CK78:CQ78)</f>
        <v>0</v>
      </c>
    </row>
    <row r="79" spans="2:96 15898:15898" ht="15" customHeight="1" outlineLevel="1" thickBot="1" x14ac:dyDescent="0.35">
      <c r="B79" s="109"/>
      <c r="C79" s="140"/>
      <c r="D79" s="140"/>
      <c r="E79" s="141"/>
      <c r="F79" s="142"/>
      <c r="G79" s="109"/>
      <c r="H79" s="143"/>
      <c r="I79" s="143"/>
      <c r="J79" s="143"/>
      <c r="K79" s="143"/>
      <c r="L79" s="143"/>
      <c r="M79" s="143"/>
      <c r="N79" s="143"/>
      <c r="O79" s="143"/>
      <c r="Q79" s="143"/>
      <c r="R79" s="143"/>
      <c r="S79" s="143"/>
      <c r="T79" s="143"/>
      <c r="U79" s="143"/>
      <c r="V79" s="143"/>
      <c r="W79" s="143"/>
      <c r="X79" s="143"/>
      <c r="Z79" s="143"/>
      <c r="AA79" s="143"/>
      <c r="AB79" s="143"/>
      <c r="AC79" s="143"/>
      <c r="AD79" s="143"/>
      <c r="AE79" s="143"/>
      <c r="AF79" s="143"/>
      <c r="AG79" s="143"/>
      <c r="AI79" s="143"/>
      <c r="AJ79" s="143"/>
      <c r="AK79" s="143"/>
      <c r="AL79" s="143"/>
      <c r="AM79" s="143"/>
      <c r="AN79" s="143"/>
      <c r="AO79" s="143"/>
      <c r="AP79" s="143"/>
      <c r="AR79" s="143"/>
      <c r="AS79" s="143"/>
      <c r="AT79" s="143"/>
      <c r="AU79" s="143"/>
      <c r="AV79" s="143"/>
      <c r="AW79" s="143"/>
      <c r="AX79" s="143"/>
      <c r="AY79" s="143"/>
      <c r="AZ79" s="107"/>
      <c r="BA79" s="143"/>
      <c r="BB79" s="143"/>
      <c r="BC79" s="143"/>
      <c r="BD79" s="143"/>
      <c r="BE79" s="143"/>
      <c r="BF79" s="143"/>
      <c r="BG79" s="143"/>
      <c r="BH79" s="143"/>
      <c r="BJ79" s="143"/>
      <c r="BK79" s="143"/>
      <c r="BL79" s="143"/>
      <c r="BM79" s="143"/>
      <c r="BN79" s="143"/>
      <c r="BO79" s="143"/>
      <c r="BP79" s="143"/>
      <c r="BQ79" s="143"/>
      <c r="BS79" s="143"/>
      <c r="BT79" s="143"/>
      <c r="BU79" s="143"/>
      <c r="BV79" s="143"/>
      <c r="BW79" s="143"/>
      <c r="BX79" s="143"/>
      <c r="BY79" s="143"/>
      <c r="BZ79" s="143"/>
      <c r="CB79" s="143"/>
      <c r="CC79" s="143"/>
      <c r="CD79" s="143"/>
      <c r="CE79" s="143"/>
      <c r="CF79" s="143"/>
      <c r="CG79" s="143"/>
      <c r="CH79" s="143"/>
      <c r="CI79" s="143"/>
      <c r="CK79" s="143"/>
      <c r="CL79" s="143"/>
      <c r="CM79" s="143"/>
      <c r="CN79" s="143"/>
      <c r="CO79" s="143"/>
      <c r="CP79" s="143"/>
      <c r="CQ79" s="143"/>
      <c r="CR79" s="143"/>
    </row>
    <row r="80" spans="2:96 15898:15898" ht="16.2" outlineLevel="1" thickBot="1" x14ac:dyDescent="0.35">
      <c r="B80" s="960" t="s">
        <v>116</v>
      </c>
      <c r="C80" s="961"/>
      <c r="D80" s="961"/>
      <c r="E80" s="961"/>
      <c r="F80" s="962"/>
      <c r="H80" s="896"/>
      <c r="I80" s="897"/>
      <c r="J80" s="897"/>
      <c r="K80" s="897"/>
      <c r="L80" s="897"/>
      <c r="M80" s="897"/>
      <c r="N80" s="897"/>
      <c r="O80" s="963"/>
      <c r="Q80" s="896"/>
      <c r="R80" s="897"/>
      <c r="S80" s="897"/>
      <c r="T80" s="897"/>
      <c r="U80" s="897"/>
      <c r="V80" s="897"/>
      <c r="W80" s="897"/>
      <c r="X80" s="963"/>
      <c r="Z80" s="896"/>
      <c r="AA80" s="897"/>
      <c r="AB80" s="897"/>
      <c r="AC80" s="897"/>
      <c r="AD80" s="897"/>
      <c r="AE80" s="897"/>
      <c r="AF80" s="897"/>
      <c r="AG80" s="963"/>
      <c r="AI80" s="866"/>
      <c r="AJ80" s="867"/>
      <c r="AK80" s="867"/>
      <c r="AL80" s="867"/>
      <c r="AM80" s="867"/>
      <c r="AN80" s="867"/>
      <c r="AO80" s="867"/>
      <c r="AP80" s="868"/>
      <c r="AR80" s="866"/>
      <c r="AS80" s="867"/>
      <c r="AT80" s="867"/>
      <c r="AU80" s="867"/>
      <c r="AV80" s="867"/>
      <c r="AW80" s="867"/>
      <c r="AX80" s="867"/>
      <c r="AY80" s="868"/>
      <c r="AZ80" s="107"/>
      <c r="BA80" s="866"/>
      <c r="BB80" s="867"/>
      <c r="BC80" s="867"/>
      <c r="BD80" s="867"/>
      <c r="BE80" s="867"/>
      <c r="BF80" s="867"/>
      <c r="BG80" s="867"/>
      <c r="BH80" s="868"/>
      <c r="BJ80" s="866"/>
      <c r="BK80" s="867"/>
      <c r="BL80" s="867"/>
      <c r="BM80" s="867"/>
      <c r="BN80" s="867"/>
      <c r="BO80" s="867"/>
      <c r="BP80" s="867"/>
      <c r="BQ80" s="868"/>
      <c r="BS80" s="866"/>
      <c r="BT80" s="867"/>
      <c r="BU80" s="867"/>
      <c r="BV80" s="867"/>
      <c r="BW80" s="867"/>
      <c r="BX80" s="867"/>
      <c r="BY80" s="867"/>
      <c r="BZ80" s="868"/>
      <c r="CB80" s="866"/>
      <c r="CC80" s="867"/>
      <c r="CD80" s="867"/>
      <c r="CE80" s="867"/>
      <c r="CF80" s="867"/>
      <c r="CG80" s="867"/>
      <c r="CH80" s="867"/>
      <c r="CI80" s="868"/>
      <c r="CK80" s="866"/>
      <c r="CL80" s="867"/>
      <c r="CM80" s="867"/>
      <c r="CN80" s="867"/>
      <c r="CO80" s="867"/>
      <c r="CP80" s="867"/>
      <c r="CQ80" s="867"/>
      <c r="CR80" s="868"/>
    </row>
    <row r="81" spans="2:96" outlineLevel="1" x14ac:dyDescent="0.3">
      <c r="B81" s="153" t="s">
        <v>83</v>
      </c>
      <c r="C81" s="154" t="s">
        <v>26</v>
      </c>
      <c r="D81" s="155" t="s">
        <v>117</v>
      </c>
      <c r="E81" s="114">
        <v>4287</v>
      </c>
      <c r="F81" s="97" t="s">
        <v>37</v>
      </c>
      <c r="H81" s="18">
        <v>0</v>
      </c>
      <c r="I81" s="19">
        <v>0</v>
      </c>
      <c r="J81" s="19">
        <f>268336/100</f>
        <v>2683.36</v>
      </c>
      <c r="K81" s="19">
        <v>3036.32</v>
      </c>
      <c r="L81" s="19">
        <f>416032/100</f>
        <v>4160.32</v>
      </c>
      <c r="M81" s="19">
        <f>181840/100</f>
        <v>1818.4</v>
      </c>
      <c r="N81" s="19">
        <f>158064/100</f>
        <v>1580.64</v>
      </c>
      <c r="O81" s="20">
        <f t="shared" ref="O81:O83" si="81">SUM(H81:N81)</f>
        <v>13279.039999999999</v>
      </c>
      <c r="Q81" s="18">
        <v>2856.96</v>
      </c>
      <c r="R81" s="19">
        <v>2745.12</v>
      </c>
      <c r="S81" s="19">
        <v>2672.96</v>
      </c>
      <c r="T81" s="19">
        <v>2569.92</v>
      </c>
      <c r="U81" s="19">
        <v>2213.92</v>
      </c>
      <c r="V81" s="19">
        <v>1366.08</v>
      </c>
      <c r="W81" s="19">
        <v>1537.28</v>
      </c>
      <c r="X81" s="20">
        <f t="shared" ref="X81:X83" si="82">SUM(Q81:W81)</f>
        <v>15962.240000000002</v>
      </c>
      <c r="Z81" s="18">
        <v>2673.44</v>
      </c>
      <c r="AA81" s="19">
        <v>2725.44</v>
      </c>
      <c r="AB81" s="19">
        <v>2408.48</v>
      </c>
      <c r="AC81" s="19">
        <v>2262.88</v>
      </c>
      <c r="AD81" s="19">
        <f>2253.44</f>
        <v>2253.44</v>
      </c>
      <c r="AE81" s="19">
        <v>1258.72</v>
      </c>
      <c r="AF81" s="19">
        <v>1353.28</v>
      </c>
      <c r="AG81" s="20">
        <f t="shared" ref="AG81:AG83" si="83">SUM(Z81:AF81)</f>
        <v>14935.680000000002</v>
      </c>
      <c r="AI81" s="88">
        <v>2593.7600000000002</v>
      </c>
      <c r="AJ81" s="148">
        <v>2743.84</v>
      </c>
      <c r="AK81" s="148">
        <v>2821.44</v>
      </c>
      <c r="AL81" s="148">
        <v>2491.6799999999998</v>
      </c>
      <c r="AM81" s="148">
        <v>2565.12</v>
      </c>
      <c r="AN81" s="148">
        <v>1670.24</v>
      </c>
      <c r="AO81" s="148">
        <v>904.8</v>
      </c>
      <c r="AP81" s="149">
        <f t="shared" ref="AP81:AP83" si="84">SUM(AI81:AO81)</f>
        <v>15790.88</v>
      </c>
      <c r="AR81" s="88">
        <v>1312.16</v>
      </c>
      <c r="AS81" s="148">
        <v>2559.84</v>
      </c>
      <c r="AT81" s="148">
        <v>1704.96</v>
      </c>
      <c r="AU81" s="148">
        <v>0</v>
      </c>
      <c r="AV81" s="148">
        <v>7366.24</v>
      </c>
      <c r="AW81" s="148">
        <v>1899.68</v>
      </c>
      <c r="AX81" s="148">
        <v>1626.24</v>
      </c>
      <c r="AY81" s="149">
        <f t="shared" ref="AY81:AY83" si="85">SUM(AR81:AX81)</f>
        <v>16469.120000000003</v>
      </c>
      <c r="AZ81" s="107"/>
      <c r="BA81" s="88">
        <f>173936/100</f>
        <v>1739.36</v>
      </c>
      <c r="BB81" s="148">
        <v>2743.04</v>
      </c>
      <c r="BC81" s="148">
        <v>3079.52</v>
      </c>
      <c r="BD81" s="148">
        <v>2765.28</v>
      </c>
      <c r="BE81" s="148">
        <v>2645.76</v>
      </c>
      <c r="BF81" s="148">
        <v>1385.12</v>
      </c>
      <c r="BG81" s="148">
        <v>1136</v>
      </c>
      <c r="BH81" s="149">
        <f t="shared" ref="BH81:BH83" si="86">SUM(BA81:BG81)</f>
        <v>15494.080000000002</v>
      </c>
      <c r="BJ81" s="88">
        <v>2602.08</v>
      </c>
      <c r="BK81" s="148">
        <v>2546.56</v>
      </c>
      <c r="BL81" s="148">
        <v>2781.76</v>
      </c>
      <c r="BM81" s="148">
        <v>2565.44</v>
      </c>
      <c r="BN81" s="148">
        <v>2780.16</v>
      </c>
      <c r="BO81" s="148">
        <v>1969.28</v>
      </c>
      <c r="BP81" s="148">
        <v>752.48</v>
      </c>
      <c r="BQ81" s="149">
        <f t="shared" ref="BQ81:BQ83" si="87">SUM(BJ81:BP81)</f>
        <v>15997.76</v>
      </c>
      <c r="BS81" s="88">
        <v>2442.7199999999998</v>
      </c>
      <c r="BT81" s="148">
        <v>2632.64</v>
      </c>
      <c r="BU81" s="148">
        <v>2826.08</v>
      </c>
      <c r="BV81" s="148">
        <v>2399.52</v>
      </c>
      <c r="BW81" s="148">
        <v>2788.8</v>
      </c>
      <c r="BX81" s="148">
        <v>2011.2</v>
      </c>
      <c r="BY81" s="148">
        <v>838.72</v>
      </c>
      <c r="BZ81" s="149">
        <f t="shared" ref="BZ81:BZ83" si="88">SUM(BS81:BY81)</f>
        <v>15939.679999999998</v>
      </c>
      <c r="CA81" s="1">
        <v>15997.76</v>
      </c>
      <c r="CB81" s="88">
        <v>1829.44</v>
      </c>
      <c r="CC81" s="148">
        <v>0</v>
      </c>
      <c r="CD81" s="148">
        <v>10440</v>
      </c>
      <c r="CE81" s="148">
        <v>3980.32</v>
      </c>
      <c r="CF81" s="148">
        <v>3072</v>
      </c>
      <c r="CG81" s="148">
        <v>694.4</v>
      </c>
      <c r="CH81" s="148">
        <v>267.52</v>
      </c>
      <c r="CI81" s="149">
        <f t="shared" ref="CI81:CI83" si="89">SUM(CB81:CH81)</f>
        <v>20283.680000000004</v>
      </c>
      <c r="CK81" s="88">
        <v>0</v>
      </c>
      <c r="CL81" s="148">
        <v>5259.84</v>
      </c>
      <c r="CM81" s="148"/>
      <c r="CN81" s="148"/>
      <c r="CO81" s="148"/>
      <c r="CP81" s="148"/>
      <c r="CQ81" s="148"/>
      <c r="CR81" s="149">
        <f t="shared" ref="CR81:CR83" si="90">SUM(CK81:CQ81)</f>
        <v>5259.84</v>
      </c>
    </row>
    <row r="82" spans="2:96" outlineLevel="1" x14ac:dyDescent="0.3">
      <c r="B82" s="153" t="s">
        <v>27</v>
      </c>
      <c r="C82" s="154" t="s">
        <v>92</v>
      </c>
      <c r="D82" s="154" t="s">
        <v>118</v>
      </c>
      <c r="E82" s="114">
        <v>85.45</v>
      </c>
      <c r="F82" s="97" t="s">
        <v>37</v>
      </c>
      <c r="H82" s="18">
        <v>56.09</v>
      </c>
      <c r="I82" s="19">
        <v>61.62</v>
      </c>
      <c r="J82" s="19">
        <v>52.52</v>
      </c>
      <c r="K82" s="19">
        <v>49.21</v>
      </c>
      <c r="L82" s="19">
        <v>43.87</v>
      </c>
      <c r="M82" s="19">
        <v>19.14</v>
      </c>
      <c r="N82" s="19">
        <v>20.25</v>
      </c>
      <c r="O82" s="20">
        <f t="shared" si="81"/>
        <v>302.7</v>
      </c>
      <c r="Q82" s="18">
        <v>38.479999999999997</v>
      </c>
      <c r="R82" s="19">
        <v>45.12</v>
      </c>
      <c r="S82" s="19">
        <v>57.21</v>
      </c>
      <c r="T82" s="19">
        <v>50</v>
      </c>
      <c r="U82" s="19">
        <v>29.56</v>
      </c>
      <c r="V82" s="19">
        <v>27.08</v>
      </c>
      <c r="W82" s="19">
        <v>46.86</v>
      </c>
      <c r="X82" s="20">
        <f t="shared" si="82"/>
        <v>294.31</v>
      </c>
      <c r="Z82" s="18">
        <v>118.73</v>
      </c>
      <c r="AA82" s="19">
        <v>83.83</v>
      </c>
      <c r="AB82" s="19">
        <v>77.08</v>
      </c>
      <c r="AC82" s="19">
        <v>98.07</v>
      </c>
      <c r="AD82" s="19">
        <v>71.290000000000006</v>
      </c>
      <c r="AE82" s="19">
        <v>21.61</v>
      </c>
      <c r="AF82" s="19">
        <v>34.700000000000003</v>
      </c>
      <c r="AG82" s="20">
        <f t="shared" si="83"/>
        <v>505.31</v>
      </c>
      <c r="AI82" s="18">
        <v>95.39</v>
      </c>
      <c r="AJ82" s="19">
        <v>79.45</v>
      </c>
      <c r="AK82" s="19">
        <v>91.09</v>
      </c>
      <c r="AL82" s="19">
        <v>88.45</v>
      </c>
      <c r="AM82" s="19">
        <v>59.66</v>
      </c>
      <c r="AN82" s="19">
        <v>9.18</v>
      </c>
      <c r="AO82" s="19">
        <v>9.06</v>
      </c>
      <c r="AP82" s="20">
        <f t="shared" si="84"/>
        <v>432.28</v>
      </c>
      <c r="AR82" s="18">
        <v>0.96</v>
      </c>
      <c r="AS82" s="19">
        <v>76.900000000000006</v>
      </c>
      <c r="AT82" s="19">
        <v>85.08</v>
      </c>
      <c r="AU82" s="19">
        <v>82.54</v>
      </c>
      <c r="AV82" s="19">
        <v>60.07</v>
      </c>
      <c r="AW82" s="19">
        <v>17.899999999999999</v>
      </c>
      <c r="AX82" s="19">
        <v>22.27</v>
      </c>
      <c r="AY82" s="20">
        <f t="shared" si="85"/>
        <v>345.71999999999997</v>
      </c>
      <c r="AZ82" s="107"/>
      <c r="BA82" s="18">
        <v>59.82</v>
      </c>
      <c r="BB82" s="19">
        <v>52.88</v>
      </c>
      <c r="BC82" s="19">
        <v>52.79</v>
      </c>
      <c r="BD82" s="19">
        <v>48.54</v>
      </c>
      <c r="BE82" s="19">
        <v>46</v>
      </c>
      <c r="BF82" s="19">
        <v>3.29</v>
      </c>
      <c r="BG82" s="19">
        <v>7.66</v>
      </c>
      <c r="BH82" s="20">
        <f t="shared" si="86"/>
        <v>270.98</v>
      </c>
      <c r="BJ82" s="18">
        <v>26.81</v>
      </c>
      <c r="BK82" s="19">
        <v>30.09</v>
      </c>
      <c r="BL82" s="19">
        <v>26.75</v>
      </c>
      <c r="BM82" s="19">
        <v>31.59</v>
      </c>
      <c r="BN82" s="19">
        <v>18.809999999999999</v>
      </c>
      <c r="BO82" s="19">
        <v>7.27</v>
      </c>
      <c r="BP82" s="19">
        <v>9.5399999999999991</v>
      </c>
      <c r="BQ82" s="20">
        <f t="shared" si="87"/>
        <v>150.86000000000001</v>
      </c>
      <c r="BS82" s="18">
        <v>28.75</v>
      </c>
      <c r="BT82" s="19">
        <v>26.76</v>
      </c>
      <c r="BU82" s="19">
        <v>34.68</v>
      </c>
      <c r="BV82" s="19">
        <v>28.78</v>
      </c>
      <c r="BW82" s="19">
        <v>20.32</v>
      </c>
      <c r="BX82" s="19">
        <v>6.27</v>
      </c>
      <c r="BY82" s="19">
        <v>9.0500000000000007</v>
      </c>
      <c r="BZ82" s="20">
        <f t="shared" si="88"/>
        <v>154.61000000000001</v>
      </c>
      <c r="CA82" s="1">
        <v>150.86000000000001</v>
      </c>
      <c r="CB82" s="18">
        <v>28.42</v>
      </c>
      <c r="CC82" s="19">
        <v>22.84</v>
      </c>
      <c r="CD82" s="19">
        <v>26.32</v>
      </c>
      <c r="CE82" s="19">
        <v>30.73</v>
      </c>
      <c r="CF82" s="19">
        <v>17.14</v>
      </c>
      <c r="CG82" s="19">
        <v>3.89</v>
      </c>
      <c r="CH82" s="19">
        <v>6.97</v>
      </c>
      <c r="CI82" s="20">
        <f t="shared" si="89"/>
        <v>136.31</v>
      </c>
      <c r="CK82" s="18">
        <v>19.84</v>
      </c>
      <c r="CL82" s="19">
        <v>20.25</v>
      </c>
      <c r="CM82" s="19"/>
      <c r="CN82" s="19"/>
      <c r="CO82" s="19"/>
      <c r="CP82" s="19"/>
      <c r="CQ82" s="19"/>
      <c r="CR82" s="20">
        <f t="shared" si="90"/>
        <v>40.090000000000003</v>
      </c>
    </row>
    <row r="83" spans="2:96" ht="16.2" outlineLevel="1" thickBot="1" x14ac:dyDescent="0.35">
      <c r="B83" s="156" t="s">
        <v>29</v>
      </c>
      <c r="C83" s="157" t="s">
        <v>119</v>
      </c>
      <c r="D83" s="158" t="s">
        <v>120</v>
      </c>
      <c r="E83" s="117">
        <v>12.9</v>
      </c>
      <c r="F83" s="97" t="s">
        <v>37</v>
      </c>
      <c r="H83" s="23">
        <v>11.35</v>
      </c>
      <c r="I83" s="24">
        <v>11.52</v>
      </c>
      <c r="J83" s="24">
        <v>11.28</v>
      </c>
      <c r="K83" s="24">
        <v>10.97</v>
      </c>
      <c r="L83" s="24">
        <v>10.98</v>
      </c>
      <c r="M83" s="24">
        <v>4.3099999999999996</v>
      </c>
      <c r="N83" s="24">
        <v>1</v>
      </c>
      <c r="O83" s="20">
        <f t="shared" si="81"/>
        <v>61.41</v>
      </c>
      <c r="Q83" s="23">
        <v>10.66</v>
      </c>
      <c r="R83" s="24">
        <v>11.62</v>
      </c>
      <c r="S83" s="24">
        <v>12.33</v>
      </c>
      <c r="T83" s="24">
        <v>13.65</v>
      </c>
      <c r="U83" s="24">
        <v>11.66</v>
      </c>
      <c r="V83" s="24">
        <v>5.3</v>
      </c>
      <c r="W83" s="24">
        <v>8.14</v>
      </c>
      <c r="X83" s="20">
        <f t="shared" si="82"/>
        <v>73.36</v>
      </c>
      <c r="Z83" s="23">
        <v>12.66</v>
      </c>
      <c r="AA83" s="24">
        <v>11.74</v>
      </c>
      <c r="AB83" s="24">
        <v>15.12</v>
      </c>
      <c r="AC83" s="24">
        <v>13.63</v>
      </c>
      <c r="AD83" s="24">
        <v>12.33</v>
      </c>
      <c r="AE83" s="24">
        <v>5.61</v>
      </c>
      <c r="AF83" s="24">
        <v>3.21</v>
      </c>
      <c r="AG83" s="20">
        <f t="shared" si="83"/>
        <v>74.3</v>
      </c>
      <c r="AI83" s="23">
        <v>12.13</v>
      </c>
      <c r="AJ83" s="24">
        <v>12.88</v>
      </c>
      <c r="AK83" s="24">
        <v>13.04</v>
      </c>
      <c r="AL83" s="24">
        <v>13.44</v>
      </c>
      <c r="AM83" s="24">
        <v>11.28</v>
      </c>
      <c r="AN83" s="24">
        <v>1.92</v>
      </c>
      <c r="AO83" s="24">
        <v>1.54</v>
      </c>
      <c r="AP83" s="20">
        <f t="shared" si="84"/>
        <v>66.23</v>
      </c>
      <c r="AR83" s="23">
        <v>1.05</v>
      </c>
      <c r="AS83" s="24">
        <v>13.68</v>
      </c>
      <c r="AT83" s="24">
        <v>11.66</v>
      </c>
      <c r="AU83" s="24">
        <v>14.15</v>
      </c>
      <c r="AV83" s="24">
        <v>12.2</v>
      </c>
      <c r="AW83" s="24">
        <v>5.23</v>
      </c>
      <c r="AX83" s="24">
        <v>2.8</v>
      </c>
      <c r="AY83" s="20">
        <f t="shared" si="85"/>
        <v>60.769999999999996</v>
      </c>
      <c r="AZ83" s="107"/>
      <c r="BA83" s="23">
        <v>11.61</v>
      </c>
      <c r="BB83" s="24">
        <v>12.81</v>
      </c>
      <c r="BC83" s="24">
        <v>16.440000000000001</v>
      </c>
      <c r="BD83" s="24">
        <v>12.92</v>
      </c>
      <c r="BE83" s="24">
        <v>11.46</v>
      </c>
      <c r="BF83" s="24">
        <v>5.2</v>
      </c>
      <c r="BG83" s="24">
        <v>3.93</v>
      </c>
      <c r="BH83" s="20">
        <f t="shared" si="86"/>
        <v>74.370000000000019</v>
      </c>
      <c r="BJ83" s="23">
        <v>15.03</v>
      </c>
      <c r="BK83" s="24">
        <v>13.86</v>
      </c>
      <c r="BL83" s="24">
        <v>16.559999999999999</v>
      </c>
      <c r="BM83" s="24">
        <v>17.059999999999999</v>
      </c>
      <c r="BN83" s="24">
        <v>14.12</v>
      </c>
      <c r="BO83" s="24">
        <v>4.47</v>
      </c>
      <c r="BP83" s="24">
        <v>4.0599999999999996</v>
      </c>
      <c r="BQ83" s="20">
        <f t="shared" si="87"/>
        <v>85.160000000000011</v>
      </c>
      <c r="BS83" s="23">
        <v>15.86</v>
      </c>
      <c r="BT83" s="24">
        <v>15.09</v>
      </c>
      <c r="BU83" s="24">
        <v>15.18</v>
      </c>
      <c r="BV83" s="24">
        <v>14.37</v>
      </c>
      <c r="BW83" s="24">
        <v>14.89</v>
      </c>
      <c r="BX83" s="24">
        <v>4.8600000000000003</v>
      </c>
      <c r="BY83" s="24">
        <v>3.75</v>
      </c>
      <c r="BZ83" s="20">
        <f t="shared" si="88"/>
        <v>83.999999999999986</v>
      </c>
      <c r="CA83" s="1">
        <v>85.160000000000011</v>
      </c>
      <c r="CB83" s="23">
        <v>12.64</v>
      </c>
      <c r="CC83" s="24">
        <v>14.03</v>
      </c>
      <c r="CD83" s="24">
        <v>12.65</v>
      </c>
      <c r="CE83" s="24">
        <v>15.71</v>
      </c>
      <c r="CF83" s="24">
        <v>14.25</v>
      </c>
      <c r="CG83" s="24">
        <v>3.83</v>
      </c>
      <c r="CH83" s="24">
        <v>4</v>
      </c>
      <c r="CI83" s="20">
        <f t="shared" si="89"/>
        <v>77.11</v>
      </c>
      <c r="CK83" s="23">
        <v>11.18</v>
      </c>
      <c r="CL83" s="24">
        <v>13.84</v>
      </c>
      <c r="CM83" s="24"/>
      <c r="CN83" s="24"/>
      <c r="CO83" s="24"/>
      <c r="CP83" s="24"/>
      <c r="CQ83" s="24"/>
      <c r="CR83" s="20">
        <f t="shared" si="90"/>
        <v>25.02</v>
      </c>
    </row>
    <row r="84" spans="2:96" ht="16.2" outlineLevel="1" thickBot="1" x14ac:dyDescent="0.35">
      <c r="B84" s="109"/>
      <c r="C84" s="140"/>
      <c r="D84" s="140"/>
      <c r="E84" s="141"/>
      <c r="F84" s="142"/>
      <c r="G84" s="109"/>
      <c r="H84" s="143"/>
      <c r="I84" s="143"/>
      <c r="J84" s="143"/>
      <c r="K84" s="143"/>
      <c r="L84" s="143"/>
      <c r="M84" s="143"/>
      <c r="N84" s="143"/>
      <c r="O84" s="143"/>
      <c r="Q84" s="143"/>
      <c r="R84" s="143"/>
      <c r="S84" s="143"/>
      <c r="T84" s="143"/>
      <c r="U84" s="143"/>
      <c r="V84" s="143"/>
      <c r="W84" s="143"/>
      <c r="X84" s="143"/>
      <c r="Z84" s="143"/>
      <c r="AA84" s="143"/>
      <c r="AB84" s="143"/>
      <c r="AC84" s="143"/>
      <c r="AD84" s="143"/>
      <c r="AE84" s="143"/>
      <c r="AF84" s="143"/>
      <c r="AG84" s="143"/>
      <c r="AI84" s="143"/>
      <c r="AJ84" s="143"/>
      <c r="AK84" s="143"/>
      <c r="AL84" s="143"/>
      <c r="AM84" s="143"/>
      <c r="AN84" s="143"/>
      <c r="AO84" s="143"/>
      <c r="AP84" s="143"/>
      <c r="AR84" s="143"/>
      <c r="AS84" s="143"/>
      <c r="AT84" s="143"/>
      <c r="AU84" s="143"/>
      <c r="AV84" s="143"/>
      <c r="AW84" s="143"/>
      <c r="AX84" s="143"/>
      <c r="AY84" s="143"/>
      <c r="AZ84" s="107"/>
      <c r="BA84" s="143"/>
      <c r="BB84" s="143"/>
      <c r="BC84" s="143"/>
      <c r="BD84" s="143"/>
      <c r="BE84" s="143"/>
      <c r="BF84" s="143"/>
      <c r="BG84" s="143"/>
      <c r="BH84" s="143"/>
      <c r="BJ84" s="143"/>
      <c r="BK84" s="143"/>
      <c r="BL84" s="143"/>
      <c r="BM84" s="143"/>
      <c r="BN84" s="143"/>
      <c r="BO84" s="143"/>
      <c r="BP84" s="143"/>
      <c r="BQ84" s="143"/>
      <c r="BS84" s="143"/>
      <c r="BT84" s="143"/>
      <c r="BU84" s="143"/>
      <c r="BV84" s="143"/>
      <c r="BW84" s="143"/>
      <c r="BX84" s="143"/>
      <c r="BY84" s="143"/>
      <c r="BZ84" s="143"/>
      <c r="CB84" s="143"/>
      <c r="CC84" s="143"/>
      <c r="CD84" s="143"/>
      <c r="CE84" s="143"/>
      <c r="CF84" s="143"/>
      <c r="CG84" s="143"/>
      <c r="CH84" s="143"/>
      <c r="CI84" s="143"/>
      <c r="CK84" s="143"/>
      <c r="CL84" s="143"/>
      <c r="CM84" s="143"/>
      <c r="CN84" s="143"/>
      <c r="CO84" s="143"/>
      <c r="CP84" s="143"/>
      <c r="CQ84" s="143"/>
      <c r="CR84" s="143"/>
    </row>
    <row r="85" spans="2:96" ht="16.2" outlineLevel="1" thickBot="1" x14ac:dyDescent="0.35">
      <c r="B85" s="964" t="s">
        <v>121</v>
      </c>
      <c r="C85" s="965"/>
      <c r="D85" s="965"/>
      <c r="E85" s="965"/>
      <c r="F85" s="966"/>
      <c r="H85" s="967"/>
      <c r="I85" s="968"/>
      <c r="J85" s="968"/>
      <c r="K85" s="968"/>
      <c r="L85" s="968"/>
      <c r="M85" s="968"/>
      <c r="N85" s="968"/>
      <c r="O85" s="969"/>
      <c r="Q85" s="967"/>
      <c r="R85" s="968"/>
      <c r="S85" s="968"/>
      <c r="T85" s="968"/>
      <c r="U85" s="968"/>
      <c r="V85" s="968"/>
      <c r="W85" s="968"/>
      <c r="X85" s="969"/>
      <c r="Z85" s="967"/>
      <c r="AA85" s="968"/>
      <c r="AB85" s="968"/>
      <c r="AC85" s="968"/>
      <c r="AD85" s="968"/>
      <c r="AE85" s="968"/>
      <c r="AF85" s="968"/>
      <c r="AG85" s="969"/>
      <c r="AI85" s="869"/>
      <c r="AJ85" s="870"/>
      <c r="AK85" s="870"/>
      <c r="AL85" s="870"/>
      <c r="AM85" s="870"/>
      <c r="AN85" s="870"/>
      <c r="AO85" s="870"/>
      <c r="AP85" s="871"/>
      <c r="AR85" s="869"/>
      <c r="AS85" s="870"/>
      <c r="AT85" s="870"/>
      <c r="AU85" s="870"/>
      <c r="AV85" s="870"/>
      <c r="AW85" s="870"/>
      <c r="AX85" s="870"/>
      <c r="AY85" s="871"/>
      <c r="AZ85" s="107"/>
      <c r="BA85" s="869"/>
      <c r="BB85" s="870"/>
      <c r="BC85" s="870"/>
      <c r="BD85" s="870"/>
      <c r="BE85" s="870"/>
      <c r="BF85" s="870"/>
      <c r="BG85" s="870"/>
      <c r="BH85" s="871"/>
      <c r="BJ85" s="869"/>
      <c r="BK85" s="870"/>
      <c r="BL85" s="870"/>
      <c r="BM85" s="870"/>
      <c r="BN85" s="870"/>
      <c r="BO85" s="870"/>
      <c r="BP85" s="870"/>
      <c r="BQ85" s="871"/>
      <c r="BS85" s="869"/>
      <c r="BT85" s="870"/>
      <c r="BU85" s="870"/>
      <c r="BV85" s="870"/>
      <c r="BW85" s="870"/>
      <c r="BX85" s="870"/>
      <c r="BY85" s="870"/>
      <c r="BZ85" s="871"/>
      <c r="CA85" s="1">
        <v>9834.5300000000007</v>
      </c>
      <c r="CB85" s="869"/>
      <c r="CC85" s="870"/>
      <c r="CD85" s="870"/>
      <c r="CE85" s="870"/>
      <c r="CF85" s="870"/>
      <c r="CG85" s="870"/>
      <c r="CH85" s="870"/>
      <c r="CI85" s="871"/>
      <c r="CK85" s="869"/>
      <c r="CL85" s="870"/>
      <c r="CM85" s="870"/>
      <c r="CN85" s="870"/>
      <c r="CO85" s="870"/>
      <c r="CP85" s="870"/>
      <c r="CQ85" s="870"/>
      <c r="CR85" s="871"/>
    </row>
    <row r="86" spans="2:96" outlineLevel="1" x14ac:dyDescent="0.3">
      <c r="B86" s="159" t="s">
        <v>83</v>
      </c>
      <c r="C86" s="160" t="s">
        <v>26</v>
      </c>
      <c r="D86" s="160" t="s">
        <v>122</v>
      </c>
      <c r="E86" s="114">
        <v>1838</v>
      </c>
      <c r="F86" s="97" t="s">
        <v>37</v>
      </c>
      <c r="H86" s="18">
        <v>0</v>
      </c>
      <c r="I86" s="19">
        <v>8802.11</v>
      </c>
      <c r="J86" s="19">
        <v>1387.94</v>
      </c>
      <c r="K86" s="19">
        <v>1446.56</v>
      </c>
      <c r="L86" s="19">
        <v>1393.71</v>
      </c>
      <c r="M86" s="19">
        <v>1465.3</v>
      </c>
      <c r="N86" s="19">
        <v>1153.94</v>
      </c>
      <c r="O86" s="20">
        <f t="shared" ref="O86:O87" si="91">SUM(H86:N86)</f>
        <v>15649.56</v>
      </c>
      <c r="Q86" s="18">
        <v>1453.58</v>
      </c>
      <c r="R86" s="19">
        <v>1469.55</v>
      </c>
      <c r="S86" s="19">
        <v>1515.95</v>
      </c>
      <c r="T86" s="19">
        <v>1538.92</v>
      </c>
      <c r="U86" s="19">
        <v>1357.49</v>
      </c>
      <c r="V86" s="19">
        <v>1448.5</v>
      </c>
      <c r="W86" s="19">
        <v>1260.21</v>
      </c>
      <c r="X86" s="20">
        <f t="shared" ref="X86:X87" si="92">SUM(Q86:W86)</f>
        <v>10044.200000000001</v>
      </c>
      <c r="Z86" s="18">
        <v>1299.97</v>
      </c>
      <c r="AA86" s="19">
        <v>1355.54</v>
      </c>
      <c r="AB86" s="19">
        <v>1381.36</v>
      </c>
      <c r="AC86" s="19">
        <v>1469.99</v>
      </c>
      <c r="AD86" s="19">
        <v>1430.82</v>
      </c>
      <c r="AE86" s="19">
        <v>1366.18</v>
      </c>
      <c r="AF86" s="19">
        <v>1504.71</v>
      </c>
      <c r="AG86" s="20">
        <f t="shared" ref="AG86:AG87" si="93">SUM(Z86:AF86)</f>
        <v>9808.57</v>
      </c>
      <c r="AI86" s="88">
        <v>1525.46</v>
      </c>
      <c r="AJ86" s="148">
        <v>1512.67</v>
      </c>
      <c r="AK86" s="148">
        <v>1437.98</v>
      </c>
      <c r="AL86" s="148">
        <v>1256.7</v>
      </c>
      <c r="AM86" s="148">
        <v>1265.97</v>
      </c>
      <c r="AN86" s="148">
        <v>1226.7</v>
      </c>
      <c r="AO86" s="148">
        <v>1258.94</v>
      </c>
      <c r="AP86" s="149">
        <f t="shared" ref="AP86:AP87" si="94">SUM(AI86:AO86)</f>
        <v>9484.4200000000019</v>
      </c>
      <c r="AR86" s="88">
        <v>1276.6600000000001</v>
      </c>
      <c r="AS86" s="148">
        <v>1576.15</v>
      </c>
      <c r="AT86" s="148">
        <v>918.91</v>
      </c>
      <c r="AU86" s="148">
        <v>0</v>
      </c>
      <c r="AV86" s="148">
        <v>3310.73</v>
      </c>
      <c r="AW86" s="148">
        <v>1463.04</v>
      </c>
      <c r="AX86" s="148">
        <v>1428.45</v>
      </c>
      <c r="AY86" s="149">
        <f t="shared" ref="AY86:AY87" si="95">SUM(AR86:AX86)</f>
        <v>9973.9400000000023</v>
      </c>
      <c r="AZ86" s="107"/>
      <c r="BA86" s="88">
        <v>1211.83</v>
      </c>
      <c r="BB86" s="148">
        <v>1341.76</v>
      </c>
      <c r="BC86" s="148">
        <v>1257.8800000000001</v>
      </c>
      <c r="BD86" s="148">
        <v>1389</v>
      </c>
      <c r="BE86" s="148">
        <v>1344.96</v>
      </c>
      <c r="BF86" s="148">
        <v>1132</v>
      </c>
      <c r="BG86" s="148">
        <v>1159.57</v>
      </c>
      <c r="BH86" s="149">
        <f t="shared" ref="BH86:BH87" si="96">SUM(BA86:BG86)</f>
        <v>8837</v>
      </c>
      <c r="BJ86" s="88">
        <v>1612.14</v>
      </c>
      <c r="BK86" s="148">
        <v>1607.83</v>
      </c>
      <c r="BL86" s="148">
        <v>1253.06</v>
      </c>
      <c r="BM86" s="148">
        <v>1346</v>
      </c>
      <c r="BN86" s="148">
        <v>1372.78</v>
      </c>
      <c r="BO86" s="148">
        <v>1310.6600000000001</v>
      </c>
      <c r="BP86" s="148">
        <v>1332.06</v>
      </c>
      <c r="BQ86" s="149">
        <f t="shared" ref="BQ86:BQ87" si="97">SUM(BJ86:BP86)</f>
        <v>9834.5300000000007</v>
      </c>
      <c r="BS86" s="88">
        <v>1591.81</v>
      </c>
      <c r="BT86" s="148">
        <v>1517.73</v>
      </c>
      <c r="BU86" s="148">
        <v>1354.4</v>
      </c>
      <c r="BV86" s="148">
        <v>1431.5</v>
      </c>
      <c r="BW86" s="148">
        <v>1343.23</v>
      </c>
      <c r="BX86" s="148">
        <v>1302.23</v>
      </c>
      <c r="BY86" s="148">
        <v>1367.06</v>
      </c>
      <c r="BZ86" s="149">
        <f t="shared" ref="BZ86:BZ87" si="98">SUM(BS86:BY86)</f>
        <v>9907.9599999999991</v>
      </c>
      <c r="CA86" s="1">
        <v>2.0099999999999998</v>
      </c>
      <c r="CB86" s="88"/>
      <c r="CC86" s="148"/>
      <c r="CD86" s="148">
        <v>3658.9</v>
      </c>
      <c r="CE86" s="148">
        <v>1459.78</v>
      </c>
      <c r="CF86" s="148">
        <v>1370.39</v>
      </c>
      <c r="CG86" s="148">
        <v>1335.4</v>
      </c>
      <c r="CH86" s="148">
        <v>566.62</v>
      </c>
      <c r="CI86" s="149">
        <f t="shared" ref="CI86:CI87" si="99">SUM(CB86:CH86)</f>
        <v>8391.090000000002</v>
      </c>
      <c r="CK86" s="88">
        <v>0</v>
      </c>
      <c r="CL86" s="148">
        <v>3340.66</v>
      </c>
      <c r="CM86" s="148"/>
      <c r="CN86" s="148"/>
      <c r="CO86" s="148"/>
      <c r="CP86" s="148"/>
      <c r="CQ86" s="148"/>
      <c r="CR86" s="149">
        <f t="shared" ref="CR86:CR87" si="100">SUM(CK86:CQ86)</f>
        <v>3340.66</v>
      </c>
    </row>
    <row r="87" spans="2:96" ht="16.2" outlineLevel="1" thickBot="1" x14ac:dyDescent="0.35">
      <c r="B87" s="161" t="s">
        <v>31</v>
      </c>
      <c r="C87" s="162" t="s">
        <v>88</v>
      </c>
      <c r="D87" s="162" t="s">
        <v>123</v>
      </c>
      <c r="E87" s="117"/>
      <c r="F87" s="87" t="s">
        <v>37</v>
      </c>
      <c r="H87" s="23">
        <v>0.23</v>
      </c>
      <c r="I87" s="24">
        <v>0.01</v>
      </c>
      <c r="J87" s="24">
        <v>7.0000000000000007E-2</v>
      </c>
      <c r="K87" s="24">
        <v>0.24</v>
      </c>
      <c r="L87" s="24">
        <v>0.22</v>
      </c>
      <c r="M87" s="24">
        <v>0.06</v>
      </c>
      <c r="N87" s="24">
        <v>0.05</v>
      </c>
      <c r="O87" s="25">
        <f t="shared" si="91"/>
        <v>0.88000000000000012</v>
      </c>
      <c r="Q87" s="23">
        <v>0.14000000000000001</v>
      </c>
      <c r="R87" s="24">
        <v>0.01</v>
      </c>
      <c r="S87" s="24">
        <v>0.04</v>
      </c>
      <c r="T87" s="24">
        <v>0.03</v>
      </c>
      <c r="U87" s="24">
        <v>0.05</v>
      </c>
      <c r="V87" s="24">
        <v>0.11</v>
      </c>
      <c r="W87" s="24">
        <v>0.02</v>
      </c>
      <c r="X87" s="25">
        <f t="shared" si="92"/>
        <v>0.4</v>
      </c>
      <c r="Z87" s="23">
        <v>0.1</v>
      </c>
      <c r="AA87" s="24">
        <v>0.06</v>
      </c>
      <c r="AB87" s="24">
        <v>0.02</v>
      </c>
      <c r="AC87" s="24">
        <v>0.06</v>
      </c>
      <c r="AD87" s="24">
        <v>0.03</v>
      </c>
      <c r="AE87" s="24">
        <v>0.18</v>
      </c>
      <c r="AF87" s="24">
        <v>0.04</v>
      </c>
      <c r="AG87" s="25">
        <f t="shared" si="93"/>
        <v>0.49</v>
      </c>
      <c r="AI87" s="23">
        <v>0.12</v>
      </c>
      <c r="AJ87" s="24">
        <v>0.02</v>
      </c>
      <c r="AK87" s="24">
        <v>0.01</v>
      </c>
      <c r="AL87" s="24">
        <v>0.01</v>
      </c>
      <c r="AM87" s="24">
        <v>0.13</v>
      </c>
      <c r="AN87" s="24">
        <v>7.0000000000000007E-2</v>
      </c>
      <c r="AO87" s="24">
        <v>0</v>
      </c>
      <c r="AP87" s="25">
        <f t="shared" si="94"/>
        <v>0.36000000000000004</v>
      </c>
      <c r="AR87" s="23">
        <v>0.01</v>
      </c>
      <c r="AS87" s="24">
        <v>0.01</v>
      </c>
      <c r="AT87" s="24">
        <v>0.04</v>
      </c>
      <c r="AU87" s="24">
        <v>0.05</v>
      </c>
      <c r="AV87" s="24">
        <v>0.23</v>
      </c>
      <c r="AW87" s="24">
        <v>0</v>
      </c>
      <c r="AX87" s="24">
        <v>0.18</v>
      </c>
      <c r="AY87" s="25">
        <f t="shared" si="95"/>
        <v>0.52</v>
      </c>
      <c r="AZ87" s="107"/>
      <c r="BA87" s="23"/>
      <c r="BB87" s="24">
        <v>0.04</v>
      </c>
      <c r="BC87" s="24">
        <v>0.23</v>
      </c>
      <c r="BD87" s="24">
        <v>0.67</v>
      </c>
      <c r="BE87" s="24">
        <v>0.41</v>
      </c>
      <c r="BF87" s="24">
        <v>0</v>
      </c>
      <c r="BG87" s="24">
        <v>0.12</v>
      </c>
      <c r="BH87" s="25">
        <f t="shared" si="96"/>
        <v>1.4700000000000002</v>
      </c>
      <c r="BJ87" s="23">
        <v>0.26</v>
      </c>
      <c r="BK87" s="24">
        <v>0.43</v>
      </c>
      <c r="BL87" s="24">
        <v>0.05</v>
      </c>
      <c r="BM87" s="24">
        <v>0.54</v>
      </c>
      <c r="BN87" s="24">
        <v>0.65</v>
      </c>
      <c r="BO87" s="24">
        <v>7.0000000000000007E-2</v>
      </c>
      <c r="BP87" s="24">
        <v>0.01</v>
      </c>
      <c r="BQ87" s="25">
        <f t="shared" si="97"/>
        <v>2.0099999999999998</v>
      </c>
      <c r="BS87" s="23">
        <v>0.18</v>
      </c>
      <c r="BT87" s="24">
        <v>0.01</v>
      </c>
      <c r="BU87" s="24">
        <v>0</v>
      </c>
      <c r="BV87" s="24">
        <v>0.02</v>
      </c>
      <c r="BW87" s="24">
        <v>0</v>
      </c>
      <c r="BX87" s="24">
        <v>0.02</v>
      </c>
      <c r="BY87" s="24">
        <v>0</v>
      </c>
      <c r="BZ87" s="25">
        <f t="shared" si="98"/>
        <v>0.22999999999999998</v>
      </c>
      <c r="CA87" s="1">
        <v>21745.57</v>
      </c>
      <c r="CB87" s="23"/>
      <c r="CC87" s="24"/>
      <c r="CD87" s="24">
        <v>0</v>
      </c>
      <c r="CE87" s="24">
        <v>7.0000000000000007E-2</v>
      </c>
      <c r="CF87" s="24">
        <v>0.22</v>
      </c>
      <c r="CG87" s="24">
        <v>0.12</v>
      </c>
      <c r="CH87" s="24">
        <v>0.14000000000000001</v>
      </c>
      <c r="CI87" s="25">
        <f t="shared" si="99"/>
        <v>0.55000000000000004</v>
      </c>
      <c r="CK87" s="23">
        <v>0.06</v>
      </c>
      <c r="CL87" s="24">
        <v>0.1</v>
      </c>
      <c r="CM87" s="24"/>
      <c r="CN87" s="24"/>
      <c r="CO87" s="24"/>
      <c r="CP87" s="24"/>
      <c r="CQ87" s="24"/>
      <c r="CR87" s="25">
        <f t="shared" si="100"/>
        <v>0.16</v>
      </c>
    </row>
    <row r="88" spans="2:96" ht="16.2" outlineLevel="1" thickBot="1" x14ac:dyDescent="0.35">
      <c r="B88" s="109"/>
      <c r="C88" s="140"/>
      <c r="D88" s="140"/>
      <c r="E88" s="141"/>
      <c r="F88" s="142"/>
      <c r="G88" s="109"/>
      <c r="H88" s="143"/>
      <c r="I88" s="143"/>
      <c r="J88" s="143"/>
      <c r="K88" s="143"/>
      <c r="L88" s="143"/>
      <c r="M88" s="143"/>
      <c r="N88" s="143"/>
      <c r="O88" s="143"/>
      <c r="Q88" s="143"/>
      <c r="R88" s="143"/>
      <c r="S88" s="143"/>
      <c r="T88" s="143"/>
      <c r="U88" s="143"/>
      <c r="V88" s="143"/>
      <c r="W88" s="143"/>
      <c r="X88" s="143"/>
      <c r="Z88" s="143"/>
      <c r="AA88" s="143"/>
      <c r="AB88" s="143"/>
      <c r="AC88" s="143"/>
      <c r="AD88" s="143"/>
      <c r="AE88" s="143"/>
      <c r="AF88" s="143"/>
      <c r="AG88" s="143"/>
      <c r="AI88" s="143"/>
      <c r="AJ88" s="143"/>
      <c r="AK88" s="143"/>
      <c r="AL88" s="143"/>
      <c r="AM88" s="143"/>
      <c r="AN88" s="143"/>
      <c r="AO88" s="143"/>
      <c r="AP88" s="143"/>
      <c r="AR88" s="143"/>
      <c r="AS88" s="143"/>
      <c r="AT88" s="143"/>
      <c r="AU88" s="143"/>
      <c r="AV88" s="143"/>
      <c r="AW88" s="143"/>
      <c r="AX88" s="143"/>
      <c r="AY88" s="143"/>
      <c r="AZ88" s="107"/>
      <c r="BA88" s="143"/>
      <c r="BB88" s="143"/>
      <c r="BC88" s="143"/>
      <c r="BD88" s="143"/>
      <c r="BE88" s="143"/>
      <c r="BF88" s="143"/>
      <c r="BG88" s="143"/>
      <c r="BH88" s="143"/>
      <c r="BJ88" s="143"/>
      <c r="BK88" s="143"/>
      <c r="BL88" s="143"/>
      <c r="BM88" s="143"/>
      <c r="BN88" s="143"/>
      <c r="BO88" s="143"/>
      <c r="BP88" s="143"/>
      <c r="BQ88" s="143"/>
      <c r="BS88" s="143"/>
      <c r="BT88" s="143"/>
      <c r="BU88" s="143"/>
      <c r="BV88" s="143"/>
      <c r="BW88" s="143"/>
      <c r="BX88" s="143"/>
      <c r="BY88" s="143"/>
      <c r="BZ88" s="143"/>
      <c r="CA88" s="1">
        <v>40.29</v>
      </c>
      <c r="CB88" s="143"/>
      <c r="CC88" s="143"/>
      <c r="CD88" s="143"/>
      <c r="CE88" s="143"/>
      <c r="CF88" s="143"/>
      <c r="CG88" s="143"/>
      <c r="CH88" s="143"/>
      <c r="CI88" s="143"/>
      <c r="CK88" s="143"/>
      <c r="CL88" s="143"/>
      <c r="CM88" s="143"/>
      <c r="CN88" s="143"/>
      <c r="CO88" s="143"/>
      <c r="CP88" s="143"/>
      <c r="CQ88" s="143"/>
      <c r="CR88" s="143"/>
    </row>
    <row r="89" spans="2:96" ht="16.2" outlineLevel="1" thickBot="1" x14ac:dyDescent="0.35">
      <c r="B89" s="964" t="s">
        <v>124</v>
      </c>
      <c r="C89" s="965"/>
      <c r="D89" s="965"/>
      <c r="E89" s="965"/>
      <c r="F89" s="966"/>
      <c r="H89" s="967"/>
      <c r="I89" s="968"/>
      <c r="J89" s="968"/>
      <c r="K89" s="968"/>
      <c r="L89" s="968"/>
      <c r="M89" s="968"/>
      <c r="N89" s="968"/>
      <c r="O89" s="969"/>
      <c r="Q89" s="967"/>
      <c r="R89" s="968"/>
      <c r="S89" s="968"/>
      <c r="T89" s="968"/>
      <c r="U89" s="968"/>
      <c r="V89" s="968"/>
      <c r="W89" s="968"/>
      <c r="X89" s="969"/>
      <c r="Z89" s="967"/>
      <c r="AA89" s="968"/>
      <c r="AB89" s="968"/>
      <c r="AC89" s="968"/>
      <c r="AD89" s="968"/>
      <c r="AE89" s="968"/>
      <c r="AF89" s="968"/>
      <c r="AG89" s="969"/>
      <c r="AI89" s="869"/>
      <c r="AJ89" s="870"/>
      <c r="AK89" s="870"/>
      <c r="AL89" s="870"/>
      <c r="AM89" s="870"/>
      <c r="AN89" s="870"/>
      <c r="AO89" s="870"/>
      <c r="AP89" s="871"/>
      <c r="AR89" s="869"/>
      <c r="AS89" s="870"/>
      <c r="AT89" s="870"/>
      <c r="AU89" s="870"/>
      <c r="AV89" s="870"/>
      <c r="AW89" s="870"/>
      <c r="AX89" s="870"/>
      <c r="AY89" s="871"/>
      <c r="AZ89" s="107"/>
      <c r="BA89" s="869"/>
      <c r="BB89" s="870"/>
      <c r="BC89" s="870"/>
      <c r="BD89" s="870"/>
      <c r="BE89" s="870"/>
      <c r="BF89" s="870"/>
      <c r="BG89" s="870"/>
      <c r="BH89" s="871"/>
      <c r="BJ89" s="869"/>
      <c r="BK89" s="870"/>
      <c r="BL89" s="870"/>
      <c r="BM89" s="870"/>
      <c r="BN89" s="870"/>
      <c r="BO89" s="870"/>
      <c r="BP89" s="870"/>
      <c r="BQ89" s="871"/>
      <c r="BS89" s="869"/>
      <c r="BT89" s="870"/>
      <c r="BU89" s="870"/>
      <c r="BV89" s="870"/>
      <c r="BW89" s="870"/>
      <c r="BX89" s="870"/>
      <c r="BY89" s="870"/>
      <c r="BZ89" s="871"/>
      <c r="CB89" s="869"/>
      <c r="CC89" s="870"/>
      <c r="CD89" s="870"/>
      <c r="CE89" s="870"/>
      <c r="CF89" s="870"/>
      <c r="CG89" s="870"/>
      <c r="CH89" s="870"/>
      <c r="CI89" s="871"/>
      <c r="CK89" s="869"/>
      <c r="CL89" s="870"/>
      <c r="CM89" s="870"/>
      <c r="CN89" s="870"/>
      <c r="CO89" s="870"/>
      <c r="CP89" s="870"/>
      <c r="CQ89" s="870"/>
      <c r="CR89" s="871"/>
    </row>
    <row r="90" spans="2:96" outlineLevel="1" x14ac:dyDescent="0.3">
      <c r="B90" s="159" t="s">
        <v>83</v>
      </c>
      <c r="C90" s="160" t="s">
        <v>26</v>
      </c>
      <c r="D90" s="160" t="s">
        <v>125</v>
      </c>
      <c r="E90" s="114">
        <v>4719</v>
      </c>
      <c r="F90" s="97" t="s">
        <v>37</v>
      </c>
      <c r="H90" s="18">
        <v>2794.44</v>
      </c>
      <c r="I90" s="19">
        <v>3182.06</v>
      </c>
      <c r="J90" s="19">
        <v>3167.66</v>
      </c>
      <c r="K90" s="19">
        <v>2974.59</v>
      </c>
      <c r="L90" s="19">
        <v>2931.81</v>
      </c>
      <c r="M90" s="19">
        <v>1832.41</v>
      </c>
      <c r="N90" s="19">
        <v>1733.28</v>
      </c>
      <c r="O90" s="20">
        <f t="shared" ref="O90:O91" si="101">SUM(H90:N90)</f>
        <v>18616.25</v>
      </c>
      <c r="Q90" s="18">
        <v>2850.97</v>
      </c>
      <c r="R90" s="19">
        <v>2923.41</v>
      </c>
      <c r="S90" s="19">
        <v>2981.5</v>
      </c>
      <c r="T90" s="19">
        <v>3103.19</v>
      </c>
      <c r="U90" s="19">
        <v>2873.94</v>
      </c>
      <c r="V90" s="19">
        <v>1854.47</v>
      </c>
      <c r="W90" s="19">
        <v>2072.25</v>
      </c>
      <c r="X90" s="20">
        <f t="shared" ref="X90:X91" si="102">SUM(Q90:W90)</f>
        <v>18659.73</v>
      </c>
      <c r="Z90" s="18">
        <v>3514.56</v>
      </c>
      <c r="AA90" s="19">
        <v>3460.03</v>
      </c>
      <c r="AB90" s="19">
        <v>3190.75</v>
      </c>
      <c r="AC90" s="19">
        <v>3292.56</v>
      </c>
      <c r="AD90" s="19">
        <v>3038.47</v>
      </c>
      <c r="AE90" s="19">
        <v>1743.97</v>
      </c>
      <c r="AF90" s="19">
        <v>1631.44</v>
      </c>
      <c r="AG90" s="20">
        <f t="shared" ref="AG90:AG91" si="103">SUM(Z90:AF90)</f>
        <v>19871.78</v>
      </c>
      <c r="AI90" s="88">
        <v>3218.81</v>
      </c>
      <c r="AJ90" s="148">
        <v>3414</v>
      </c>
      <c r="AK90" s="148">
        <v>3122.28</v>
      </c>
      <c r="AL90" s="148">
        <v>3214.22</v>
      </c>
      <c r="AM90" s="148">
        <v>3178.81</v>
      </c>
      <c r="AN90" s="148">
        <v>1654.13</v>
      </c>
      <c r="AO90" s="148">
        <v>1622.84</v>
      </c>
      <c r="AP90" s="149">
        <f t="shared" ref="AP90:AP91" si="104">SUM(AI90:AO90)</f>
        <v>19425.09</v>
      </c>
      <c r="AR90" s="88">
        <v>1445.13</v>
      </c>
      <c r="AS90" s="148">
        <v>3152.72</v>
      </c>
      <c r="AT90" s="148">
        <v>2963.97</v>
      </c>
      <c r="AU90" s="148">
        <v>3314.09</v>
      </c>
      <c r="AV90" s="148">
        <v>3092.97</v>
      </c>
      <c r="AW90" s="148">
        <v>1791.97</v>
      </c>
      <c r="AX90" s="148">
        <v>1675.19</v>
      </c>
      <c r="AY90" s="149">
        <f t="shared" ref="AY90:AY91" si="105">SUM(AR90:AX90)</f>
        <v>17436.039999999997</v>
      </c>
      <c r="AZ90" s="107"/>
      <c r="BA90" s="88">
        <v>2758.75</v>
      </c>
      <c r="BB90" s="148">
        <v>3153.88</v>
      </c>
      <c r="BC90" s="148">
        <v>2883</v>
      </c>
      <c r="BD90" s="148">
        <v>2989.97</v>
      </c>
      <c r="BE90" s="148">
        <v>3205.03</v>
      </c>
      <c r="BF90" s="148">
        <v>1789.34</v>
      </c>
      <c r="BG90" s="148">
        <v>1566.66</v>
      </c>
      <c r="BH90" s="149">
        <f t="shared" ref="BH90:BH91" si="106">SUM(BA90:BG90)</f>
        <v>18346.63</v>
      </c>
      <c r="BJ90" s="88">
        <v>3237.91</v>
      </c>
      <c r="BK90" s="148">
        <v>3438.06</v>
      </c>
      <c r="BL90" s="148">
        <v>3315.38</v>
      </c>
      <c r="BM90" s="148">
        <v>3755.38</v>
      </c>
      <c r="BN90" s="148">
        <v>3926.72</v>
      </c>
      <c r="BO90" s="148">
        <v>2268.84</v>
      </c>
      <c r="BP90" s="148">
        <v>1803.28</v>
      </c>
      <c r="BQ90" s="149">
        <f t="shared" ref="BQ90:BQ91" si="107">SUM(BJ90:BP90)</f>
        <v>21745.57</v>
      </c>
      <c r="BS90" s="88">
        <v>2971.06</v>
      </c>
      <c r="BT90" s="148">
        <v>3113.34</v>
      </c>
      <c r="BU90" s="148">
        <v>3518.41</v>
      </c>
      <c r="BV90" s="148">
        <v>3597.72</v>
      </c>
      <c r="BW90" s="148">
        <v>3455.38</v>
      </c>
      <c r="BX90" s="148">
        <v>2148.9699999999998</v>
      </c>
      <c r="BY90" s="148">
        <v>2077.91</v>
      </c>
      <c r="BZ90" s="149">
        <f t="shared" ref="BZ90:BZ91" si="108">SUM(BS90:BY90)</f>
        <v>20882.79</v>
      </c>
      <c r="CB90" s="88"/>
      <c r="CC90" s="148"/>
      <c r="CD90" s="148">
        <v>3793.34</v>
      </c>
      <c r="CE90" s="148">
        <v>3503.09</v>
      </c>
      <c r="CF90" s="148">
        <v>3233.47</v>
      </c>
      <c r="CG90" s="148">
        <v>1709.44</v>
      </c>
      <c r="CH90" s="148">
        <v>1406.38</v>
      </c>
      <c r="CI90" s="149">
        <f t="shared" ref="CI90:CI91" si="109">SUM(CB90:CH90)</f>
        <v>13645.720000000001</v>
      </c>
      <c r="CK90" s="88">
        <v>3157.91</v>
      </c>
      <c r="CL90" s="148">
        <v>3356.38</v>
      </c>
      <c r="CM90" s="148"/>
      <c r="CN90" s="148"/>
      <c r="CO90" s="148"/>
      <c r="CP90" s="148"/>
      <c r="CQ90" s="148"/>
      <c r="CR90" s="149">
        <f t="shared" ref="CR90:CR91" si="110">SUM(CK90:CQ90)</f>
        <v>6514.29</v>
      </c>
    </row>
    <row r="91" spans="2:96" ht="16.2" outlineLevel="1" thickBot="1" x14ac:dyDescent="0.35">
      <c r="B91" s="161" t="s">
        <v>29</v>
      </c>
      <c r="C91" s="162" t="s">
        <v>30</v>
      </c>
      <c r="D91" s="162" t="s">
        <v>126</v>
      </c>
      <c r="E91" s="163">
        <v>9.65</v>
      </c>
      <c r="F91" s="97" t="s">
        <v>37</v>
      </c>
      <c r="H91" s="23">
        <v>8.4700000000000006</v>
      </c>
      <c r="I91" s="24">
        <v>8.51</v>
      </c>
      <c r="J91" s="24">
        <v>7.32</v>
      </c>
      <c r="K91" s="24">
        <v>8.77</v>
      </c>
      <c r="L91" s="24">
        <v>7.5</v>
      </c>
      <c r="M91" s="24">
        <v>2</v>
      </c>
      <c r="N91" s="24">
        <v>3.89</v>
      </c>
      <c r="O91" s="25">
        <f t="shared" si="101"/>
        <v>46.46</v>
      </c>
      <c r="Q91" s="23">
        <v>9.69</v>
      </c>
      <c r="R91" s="24">
        <v>9.19</v>
      </c>
      <c r="S91" s="24">
        <v>8.14</v>
      </c>
      <c r="T91" s="24">
        <v>8.68</v>
      </c>
      <c r="U91" s="24">
        <v>12.75</v>
      </c>
      <c r="V91" s="24">
        <v>0.85</v>
      </c>
      <c r="W91" s="24">
        <v>0.8</v>
      </c>
      <c r="X91" s="25">
        <f t="shared" si="102"/>
        <v>50.1</v>
      </c>
      <c r="Z91" s="23">
        <v>10.31</v>
      </c>
      <c r="AA91" s="24">
        <v>8.43</v>
      </c>
      <c r="AB91" s="24">
        <v>8.48</v>
      </c>
      <c r="AC91" s="24">
        <v>8.1999999999999993</v>
      </c>
      <c r="AD91" s="24">
        <v>8.68</v>
      </c>
      <c r="AE91" s="24">
        <v>0.88</v>
      </c>
      <c r="AF91" s="24">
        <v>0.55000000000000004</v>
      </c>
      <c r="AG91" s="25">
        <f t="shared" si="103"/>
        <v>45.53</v>
      </c>
      <c r="AI91" s="23">
        <v>9.61</v>
      </c>
      <c r="AJ91" s="24">
        <v>9.2899999999999991</v>
      </c>
      <c r="AK91" s="24">
        <v>10.07</v>
      </c>
      <c r="AL91" s="24">
        <v>8.32</v>
      </c>
      <c r="AM91" s="24">
        <v>7.06</v>
      </c>
      <c r="AN91" s="24">
        <v>1.64</v>
      </c>
      <c r="AO91" s="24">
        <v>0.36</v>
      </c>
      <c r="AP91" s="25">
        <f t="shared" si="104"/>
        <v>46.35</v>
      </c>
      <c r="AR91" s="23">
        <v>0.67</v>
      </c>
      <c r="AS91" s="24">
        <v>9.17</v>
      </c>
      <c r="AT91" s="24">
        <v>1.37</v>
      </c>
      <c r="AU91" s="24">
        <v>0</v>
      </c>
      <c r="AV91" s="24">
        <v>0</v>
      </c>
      <c r="AW91" s="24">
        <v>0</v>
      </c>
      <c r="AX91" s="24">
        <v>0</v>
      </c>
      <c r="AY91" s="25">
        <f t="shared" si="105"/>
        <v>11.21</v>
      </c>
      <c r="AZ91" s="107"/>
      <c r="BA91" s="23"/>
      <c r="BB91" s="24">
        <v>0</v>
      </c>
      <c r="BC91" s="24">
        <v>0</v>
      </c>
      <c r="BD91" s="24">
        <v>51.03</v>
      </c>
      <c r="BE91" s="24">
        <v>6.79</v>
      </c>
      <c r="BF91" s="24">
        <v>1.87</v>
      </c>
      <c r="BG91" s="24">
        <v>0.57999999999999996</v>
      </c>
      <c r="BH91" s="25">
        <f t="shared" si="106"/>
        <v>60.269999999999996</v>
      </c>
      <c r="BJ91" s="23">
        <v>7.92</v>
      </c>
      <c r="BK91" s="24">
        <v>7.19</v>
      </c>
      <c r="BL91" s="24">
        <v>7.53</v>
      </c>
      <c r="BM91" s="24">
        <v>8.16</v>
      </c>
      <c r="BN91" s="24">
        <v>7.17</v>
      </c>
      <c r="BO91" s="24">
        <v>1.78</v>
      </c>
      <c r="BP91" s="24">
        <v>0.54</v>
      </c>
      <c r="BQ91" s="25">
        <f t="shared" si="107"/>
        <v>40.29</v>
      </c>
      <c r="BS91" s="23">
        <v>7.97</v>
      </c>
      <c r="BT91" s="24">
        <v>7.62</v>
      </c>
      <c r="BU91" s="24">
        <v>7.06</v>
      </c>
      <c r="BV91" s="24">
        <v>6.49</v>
      </c>
      <c r="BW91" s="24">
        <v>7</v>
      </c>
      <c r="BX91" s="24">
        <v>1.26</v>
      </c>
      <c r="BY91" s="24">
        <v>0.69</v>
      </c>
      <c r="BZ91" s="25">
        <f t="shared" si="108"/>
        <v>38.089999999999996</v>
      </c>
      <c r="CB91" s="23"/>
      <c r="CC91" s="24"/>
      <c r="CD91" s="24">
        <v>7.6</v>
      </c>
      <c r="CE91" s="24">
        <v>7.64</v>
      </c>
      <c r="CF91" s="24">
        <v>7.32</v>
      </c>
      <c r="CG91" s="24">
        <v>3.7</v>
      </c>
      <c r="CH91" s="24">
        <v>0.64</v>
      </c>
      <c r="CI91" s="25">
        <f t="shared" si="109"/>
        <v>26.9</v>
      </c>
      <c r="CK91" s="23">
        <v>3.62</v>
      </c>
      <c r="CL91" s="24">
        <v>7.59</v>
      </c>
      <c r="CM91" s="24"/>
      <c r="CN91" s="24"/>
      <c r="CO91" s="24"/>
      <c r="CP91" s="24"/>
      <c r="CQ91" s="24"/>
      <c r="CR91" s="25">
        <f t="shared" si="110"/>
        <v>11.21</v>
      </c>
    </row>
    <row r="92" spans="2:96" x14ac:dyDescent="0.3">
      <c r="B92" s="109"/>
      <c r="C92" s="140"/>
      <c r="D92" s="140"/>
      <c r="E92" s="141"/>
      <c r="F92" s="142"/>
      <c r="G92" s="109"/>
      <c r="H92" s="143"/>
      <c r="I92" s="143"/>
      <c r="J92" s="143"/>
      <c r="K92" s="143"/>
      <c r="L92" s="143"/>
      <c r="M92" s="143"/>
      <c r="N92" s="143"/>
      <c r="O92" s="143"/>
      <c r="Q92" s="143"/>
      <c r="R92" s="143"/>
      <c r="S92" s="143"/>
      <c r="T92" s="143"/>
      <c r="U92" s="143"/>
      <c r="V92" s="143"/>
      <c r="W92" s="143"/>
      <c r="X92" s="143"/>
      <c r="Z92" s="143"/>
      <c r="AA92" s="143"/>
      <c r="AB92" s="143"/>
      <c r="AC92" s="143"/>
      <c r="AD92" s="143"/>
      <c r="AE92" s="143"/>
      <c r="AF92" s="143"/>
      <c r="AG92" s="143"/>
      <c r="AI92" s="143"/>
      <c r="AJ92" s="143"/>
      <c r="AK92" s="143"/>
      <c r="AL92" s="143"/>
      <c r="AM92" s="143"/>
      <c r="AN92" s="143"/>
      <c r="AO92" s="143"/>
      <c r="AP92" s="143"/>
      <c r="AR92" s="143"/>
      <c r="AS92" s="143"/>
      <c r="AT92" s="143"/>
      <c r="AU92" s="143"/>
      <c r="AV92" s="143"/>
      <c r="AW92" s="143"/>
      <c r="AX92" s="143"/>
      <c r="AY92" s="143"/>
      <c r="BA92" s="143"/>
      <c r="BB92" s="143"/>
      <c r="BC92" s="143"/>
      <c r="BD92" s="143"/>
      <c r="BE92" s="143"/>
      <c r="BF92" s="143"/>
      <c r="BG92" s="143"/>
      <c r="BH92" s="143"/>
      <c r="BJ92" s="143"/>
      <c r="BK92" s="143"/>
      <c r="BL92" s="143"/>
      <c r="BM92" s="143"/>
      <c r="BN92" s="143"/>
      <c r="BO92" s="143"/>
      <c r="BP92" s="143"/>
      <c r="BQ92" s="143"/>
      <c r="BS92" s="143"/>
      <c r="BT92" s="143"/>
      <c r="BU92" s="143"/>
      <c r="BV92" s="143"/>
      <c r="BW92" s="143"/>
      <c r="BX92" s="143"/>
      <c r="BY92" s="143"/>
      <c r="BZ92" s="143"/>
      <c r="CB92" s="143"/>
      <c r="CC92" s="143"/>
      <c r="CD92" s="143"/>
      <c r="CE92" s="143"/>
      <c r="CF92" s="143"/>
      <c r="CG92" s="143"/>
      <c r="CH92" s="143"/>
      <c r="CI92" s="143"/>
      <c r="CK92" s="143"/>
      <c r="CL92" s="143"/>
      <c r="CM92" s="143"/>
      <c r="CN92" s="143"/>
      <c r="CO92" s="143"/>
      <c r="CP92" s="143"/>
      <c r="CQ92" s="143"/>
      <c r="CR92" s="143"/>
    </row>
  </sheetData>
  <mergeCells count="169">
    <mergeCell ref="BJ89:BQ89"/>
    <mergeCell ref="BS89:BZ89"/>
    <mergeCell ref="BA85:BH85"/>
    <mergeCell ref="BJ85:BQ85"/>
    <mergeCell ref="BS85:BZ85"/>
    <mergeCell ref="B89:F89"/>
    <mergeCell ref="H89:O89"/>
    <mergeCell ref="Q89:X89"/>
    <mergeCell ref="Z89:AG89"/>
    <mergeCell ref="AI89:AP89"/>
    <mergeCell ref="AR89:AY89"/>
    <mergeCell ref="BA89:BH89"/>
    <mergeCell ref="B85:F85"/>
    <mergeCell ref="H85:O85"/>
    <mergeCell ref="Q85:X85"/>
    <mergeCell ref="Z85:AG85"/>
    <mergeCell ref="AI85:AP85"/>
    <mergeCell ref="AR85:AY85"/>
    <mergeCell ref="B80:F80"/>
    <mergeCell ref="H80:O80"/>
    <mergeCell ref="Q80:X80"/>
    <mergeCell ref="Z80:AG80"/>
    <mergeCell ref="AI80:AP80"/>
    <mergeCell ref="AR80:AY80"/>
    <mergeCell ref="BA80:BH80"/>
    <mergeCell ref="BJ80:BQ80"/>
    <mergeCell ref="BS80:BZ80"/>
    <mergeCell ref="B69:F69"/>
    <mergeCell ref="H69:O69"/>
    <mergeCell ref="Q69:X69"/>
    <mergeCell ref="Z69:AG69"/>
    <mergeCell ref="AI69:AP69"/>
    <mergeCell ref="AR69:AY69"/>
    <mergeCell ref="BA69:BH69"/>
    <mergeCell ref="BJ69:BQ69"/>
    <mergeCell ref="BS69:BZ69"/>
    <mergeCell ref="B62:F62"/>
    <mergeCell ref="H62:O62"/>
    <mergeCell ref="Q62:X62"/>
    <mergeCell ref="Z62:AG62"/>
    <mergeCell ref="AI62:AP62"/>
    <mergeCell ref="AR62:AY62"/>
    <mergeCell ref="BA62:BH62"/>
    <mergeCell ref="BJ62:BQ62"/>
    <mergeCell ref="BS62:BZ62"/>
    <mergeCell ref="AR46:AY46"/>
    <mergeCell ref="BA46:BH46"/>
    <mergeCell ref="BJ46:BQ46"/>
    <mergeCell ref="BS46:BZ46"/>
    <mergeCell ref="B55:F55"/>
    <mergeCell ref="H55:O55"/>
    <mergeCell ref="Q55:X55"/>
    <mergeCell ref="Z55:AG55"/>
    <mergeCell ref="AI55:AP55"/>
    <mergeCell ref="AR55:AY55"/>
    <mergeCell ref="B46:F46"/>
    <mergeCell ref="H46:O46"/>
    <mergeCell ref="Q46:X46"/>
    <mergeCell ref="Z46:AG46"/>
    <mergeCell ref="AI46:AP46"/>
    <mergeCell ref="BA55:BH55"/>
    <mergeCell ref="BJ55:BQ55"/>
    <mergeCell ref="BS55:BZ55"/>
    <mergeCell ref="B37:F37"/>
    <mergeCell ref="Z22:AG22"/>
    <mergeCell ref="AI22:AP22"/>
    <mergeCell ref="AR22:AY22"/>
    <mergeCell ref="BS42:BZ42"/>
    <mergeCell ref="BJ37:BQ37"/>
    <mergeCell ref="BS37:BZ37"/>
    <mergeCell ref="B42:F42"/>
    <mergeCell ref="H42:O42"/>
    <mergeCell ref="Q42:X42"/>
    <mergeCell ref="Z42:AG42"/>
    <mergeCell ref="AI42:AP42"/>
    <mergeCell ref="AR42:AY42"/>
    <mergeCell ref="BA42:BH42"/>
    <mergeCell ref="BJ42:BQ42"/>
    <mergeCell ref="H37:O37"/>
    <mergeCell ref="Q37:X37"/>
    <mergeCell ref="Z37:AG37"/>
    <mergeCell ref="AI37:AP37"/>
    <mergeCell ref="AR37:AY37"/>
    <mergeCell ref="BA37:BH37"/>
    <mergeCell ref="C18:E18"/>
    <mergeCell ref="C19:E19"/>
    <mergeCell ref="C20:E20"/>
    <mergeCell ref="B22:F22"/>
    <mergeCell ref="H22:O22"/>
    <mergeCell ref="Q22:X22"/>
    <mergeCell ref="A23:A35"/>
    <mergeCell ref="B23:B25"/>
    <mergeCell ref="B26:B27"/>
    <mergeCell ref="B28:B31"/>
    <mergeCell ref="B32:B35"/>
    <mergeCell ref="AR15:AY15"/>
    <mergeCell ref="BA15:BH15"/>
    <mergeCell ref="BJ15:BQ15"/>
    <mergeCell ref="BS15:BZ15"/>
    <mergeCell ref="C16:E16"/>
    <mergeCell ref="C17:E17"/>
    <mergeCell ref="BS9:BZ9"/>
    <mergeCell ref="C10:E10"/>
    <mergeCell ref="C11:E11"/>
    <mergeCell ref="C12:E12"/>
    <mergeCell ref="C13:E13"/>
    <mergeCell ref="B15:F15"/>
    <mergeCell ref="H15:O15"/>
    <mergeCell ref="Q15:X15"/>
    <mergeCell ref="Z15:AG15"/>
    <mergeCell ref="AI15:AP15"/>
    <mergeCell ref="B9:F9"/>
    <mergeCell ref="H9:O9"/>
    <mergeCell ref="Q9:X9"/>
    <mergeCell ref="Z9:AG9"/>
    <mergeCell ref="AI9:AP9"/>
    <mergeCell ref="AR9:AY9"/>
    <mergeCell ref="BA2:BH2"/>
    <mergeCell ref="BJ2:BQ2"/>
    <mergeCell ref="BS2:BZ2"/>
    <mergeCell ref="H3:O3"/>
    <mergeCell ref="Q3:X3"/>
    <mergeCell ref="Z3:AG3"/>
    <mergeCell ref="AI3:AP3"/>
    <mergeCell ref="AR3:AY3"/>
    <mergeCell ref="BA3:BH3"/>
    <mergeCell ref="BJ3:BQ3"/>
    <mergeCell ref="H2:O2"/>
    <mergeCell ref="Q2:X2"/>
    <mergeCell ref="Z2:AG2"/>
    <mergeCell ref="AI2:AP2"/>
    <mergeCell ref="AR2:AY2"/>
    <mergeCell ref="BS3:BZ3"/>
    <mergeCell ref="CB9:CI9"/>
    <mergeCell ref="CB15:CI15"/>
    <mergeCell ref="CB22:CI22"/>
    <mergeCell ref="CB37:CI37"/>
    <mergeCell ref="CB42:CI42"/>
    <mergeCell ref="CB46:CI46"/>
    <mergeCell ref="CB55:CI55"/>
    <mergeCell ref="BA9:BH9"/>
    <mergeCell ref="BJ9:BQ9"/>
    <mergeCell ref="BA22:BH22"/>
    <mergeCell ref="BJ22:BQ22"/>
    <mergeCell ref="BS22:BZ22"/>
    <mergeCell ref="B6:F6"/>
    <mergeCell ref="B7:F7"/>
    <mergeCell ref="B2:F5"/>
    <mergeCell ref="CK62:CR62"/>
    <mergeCell ref="CK69:CR69"/>
    <mergeCell ref="CK80:CR80"/>
    <mergeCell ref="CK85:CR85"/>
    <mergeCell ref="CK89:CR89"/>
    <mergeCell ref="CK2:CR2"/>
    <mergeCell ref="CK3:CR3"/>
    <mergeCell ref="CK9:CR9"/>
    <mergeCell ref="CK15:CR15"/>
    <mergeCell ref="CK22:CR22"/>
    <mergeCell ref="CK37:CR37"/>
    <mergeCell ref="CK42:CR42"/>
    <mergeCell ref="CK46:CR46"/>
    <mergeCell ref="CK55:CR55"/>
    <mergeCell ref="CB62:CI62"/>
    <mergeCell ref="CB69:CI69"/>
    <mergeCell ref="CB80:CI80"/>
    <mergeCell ref="CB85:CI85"/>
    <mergeCell ref="CB89:CI89"/>
    <mergeCell ref="CB2:CI2"/>
    <mergeCell ref="CB3:CI3"/>
  </mergeCells>
  <conditionalFormatting sqref="F1 F14 F92 F88 F84 F41 F70:F76 F43:F44 F102:F1048576 F63:F68 F47:F54 F56:F61 F78:F79">
    <cfRule type="cellIs" dxfId="131" priority="242" operator="equal">
      <formula>"OK"</formula>
    </cfRule>
    <cfRule type="cellIs" dxfId="130" priority="243" operator="greaterThan">
      <formula>$F$1</formula>
    </cfRule>
  </conditionalFormatting>
  <conditionalFormatting sqref="F43:F44 F70:F76 F47:F53 F56:F60 F63:F67 F78">
    <cfRule type="cellIs" dxfId="129" priority="241" operator="lessThan">
      <formula>$F$1</formula>
    </cfRule>
  </conditionalFormatting>
  <conditionalFormatting sqref="A60 D60:E60 G60:Y60 AH60 AQ60 BI60 BR60 CA60 CJ60 CS60:XFD60">
    <cfRule type="cellIs" dxfId="128" priority="237" operator="greaterThan">
      <formula>$E$60</formula>
    </cfRule>
  </conditionalFormatting>
  <conditionalFormatting sqref="A77 D77:E77 G77:Y77 AH77 AQ77 BI77 BR77 CA77 CJ77 CS77:XFD77">
    <cfRule type="cellIs" dxfId="127" priority="236" operator="greaterThan">
      <formula>$E$77</formula>
    </cfRule>
  </conditionalFormatting>
  <conditionalFormatting sqref="A91 D91:E91 G91:Y91 AH91 AQ91 BI91 BR91 CA91 CJ91 CS91:XFD91">
    <cfRule type="cellIs" dxfId="126" priority="235" operator="greaterThan">
      <formula>$E$91</formula>
    </cfRule>
  </conditionalFormatting>
  <conditionalFormatting sqref="A47 G47:Y47 D47:E47 AH47 AQ47 BI47 BR47 CA47 CJ47 CS47:XFD47">
    <cfRule type="cellIs" dxfId="125" priority="229" operator="greaterThan">
      <formula>$E$47</formula>
    </cfRule>
  </conditionalFormatting>
  <conditionalFormatting sqref="A49 G49:Y49 D49:E49 AH49 AQ49 BI49 BR49 CA49 CJ49 CS49:XFD49">
    <cfRule type="cellIs" dxfId="124" priority="228" operator="greaterThan">
      <formula>$E$49</formula>
    </cfRule>
  </conditionalFormatting>
  <conditionalFormatting sqref="A58 G58:Y58 D58:E58 AH58 AQ58 BI58 BR58 CA58 CJ58 CS58:XFD58">
    <cfRule type="cellIs" dxfId="123" priority="227" operator="greaterThan">
      <formula>$E$58</formula>
    </cfRule>
  </conditionalFormatting>
  <conditionalFormatting sqref="Z60:AG60">
    <cfRule type="cellIs" dxfId="122" priority="223" operator="greaterThan">
      <formula>$E$60</formula>
    </cfRule>
  </conditionalFormatting>
  <conditionalFormatting sqref="Z77:AG77">
    <cfRule type="cellIs" dxfId="121" priority="222" operator="greaterThan">
      <formula>$E$77</formula>
    </cfRule>
  </conditionalFormatting>
  <conditionalFormatting sqref="Z91:AG91">
    <cfRule type="cellIs" dxfId="120" priority="221" operator="greaterThan">
      <formula>$E$91</formula>
    </cfRule>
  </conditionalFormatting>
  <conditionalFormatting sqref="Z47:AG47">
    <cfRule type="cellIs" dxfId="119" priority="216" operator="greaterThan">
      <formula>$E$47</formula>
    </cfRule>
  </conditionalFormatting>
  <conditionalFormatting sqref="Z49:AG49">
    <cfRule type="cellIs" dxfId="118" priority="215" operator="greaterThan">
      <formula>$E$49</formula>
    </cfRule>
  </conditionalFormatting>
  <conditionalFormatting sqref="Z58:AG58">
    <cfRule type="cellIs" dxfId="117" priority="214" operator="greaterThan">
      <formula>$E$58</formula>
    </cfRule>
  </conditionalFormatting>
  <conditionalFormatting sqref="F39">
    <cfRule type="cellIs" dxfId="116" priority="211" operator="equal">
      <formula>"OK"</formula>
    </cfRule>
    <cfRule type="cellIs" dxfId="115" priority="212" operator="greaterThan">
      <formula>$F$1</formula>
    </cfRule>
  </conditionalFormatting>
  <conditionalFormatting sqref="F39">
    <cfRule type="cellIs" dxfId="114" priority="210" operator="lessThan">
      <formula>$F$1</formula>
    </cfRule>
  </conditionalFormatting>
  <conditionalFormatting sqref="F40">
    <cfRule type="cellIs" dxfId="113" priority="208" operator="equal">
      <formula>"OK"</formula>
    </cfRule>
    <cfRule type="cellIs" dxfId="112" priority="209" operator="greaterThan">
      <formula>$F$1</formula>
    </cfRule>
  </conditionalFormatting>
  <conditionalFormatting sqref="F40">
    <cfRule type="cellIs" dxfId="111" priority="207" operator="lessThan">
      <formula>$F$1</formula>
    </cfRule>
  </conditionalFormatting>
  <conditionalFormatting sqref="AP60">
    <cfRule type="cellIs" dxfId="110" priority="203" operator="greaterThan">
      <formula>$E$60</formula>
    </cfRule>
  </conditionalFormatting>
  <conditionalFormatting sqref="AI77:AP77">
    <cfRule type="cellIs" dxfId="109" priority="202" operator="greaterThan">
      <formula>$E$77</formula>
    </cfRule>
  </conditionalFormatting>
  <conditionalFormatting sqref="AI91:AP91">
    <cfRule type="cellIs" dxfId="108" priority="201" operator="greaterThan">
      <formula>$E$91</formula>
    </cfRule>
  </conditionalFormatting>
  <conditionalFormatting sqref="AI47:AP47">
    <cfRule type="cellIs" dxfId="107" priority="196" operator="greaterThan">
      <formula>$E$47</formula>
    </cfRule>
  </conditionalFormatting>
  <conditionalFormatting sqref="AI49:AP49">
    <cfRule type="cellIs" dxfId="106" priority="195" operator="greaterThan">
      <formula>$E$49</formula>
    </cfRule>
  </conditionalFormatting>
  <conditionalFormatting sqref="AI58:AP58">
    <cfRule type="cellIs" dxfId="105" priority="194" operator="greaterThan">
      <formula>$E$58</formula>
    </cfRule>
  </conditionalFormatting>
  <conditionalFormatting sqref="AI60:AO60">
    <cfRule type="cellIs" dxfId="104" priority="192" operator="greaterThan">
      <formula>$E$60</formula>
    </cfRule>
  </conditionalFormatting>
  <conditionalFormatting sqref="F87">
    <cfRule type="cellIs" dxfId="103" priority="190" operator="equal">
      <formula>"OK"</formula>
    </cfRule>
    <cfRule type="cellIs" dxfId="102" priority="191" operator="greaterThan">
      <formula>$F$1</formula>
    </cfRule>
  </conditionalFormatting>
  <conditionalFormatting sqref="F87">
    <cfRule type="cellIs" dxfId="101" priority="189" operator="lessThan">
      <formula>$F$1</formula>
    </cfRule>
  </conditionalFormatting>
  <conditionalFormatting sqref="AY60">
    <cfRule type="cellIs" dxfId="100" priority="185" operator="greaterThan">
      <formula>$E$60</formula>
    </cfRule>
  </conditionalFormatting>
  <conditionalFormatting sqref="AR77:AY77">
    <cfRule type="cellIs" dxfId="99" priority="184" operator="greaterThan">
      <formula>$E$77</formula>
    </cfRule>
  </conditionalFormatting>
  <conditionalFormatting sqref="AR91:AY91">
    <cfRule type="cellIs" dxfId="98" priority="183" operator="greaterThan">
      <formula>$E$91</formula>
    </cfRule>
  </conditionalFormatting>
  <conditionalFormatting sqref="AR47:AY47">
    <cfRule type="cellIs" dxfId="97" priority="178" operator="greaterThan">
      <formula>$E$47</formula>
    </cfRule>
  </conditionalFormatting>
  <conditionalFormatting sqref="AR49:AY49">
    <cfRule type="cellIs" dxfId="96" priority="177" operator="greaterThan">
      <formula>$E$49</formula>
    </cfRule>
  </conditionalFormatting>
  <conditionalFormatting sqref="AR58:AY58">
    <cfRule type="cellIs" dxfId="95" priority="176" operator="greaterThan">
      <formula>$E$58</formula>
    </cfRule>
  </conditionalFormatting>
  <conditionalFormatting sqref="AR60:AX60">
    <cfRule type="cellIs" dxfId="94" priority="174" operator="greaterThan">
      <formula>$E$60</formula>
    </cfRule>
  </conditionalFormatting>
  <conditionalFormatting sqref="F38">
    <cfRule type="cellIs" dxfId="93" priority="165" operator="equal">
      <formula>"OK"</formula>
    </cfRule>
    <cfRule type="cellIs" dxfId="92" priority="166" operator="greaterThan">
      <formula>$F$1</formula>
    </cfRule>
  </conditionalFormatting>
  <conditionalFormatting sqref="F38">
    <cfRule type="cellIs" dxfId="91" priority="164" operator="lessThan">
      <formula>$F$1</formula>
    </cfRule>
  </conditionalFormatting>
  <conditionalFormatting sqref="AZ60">
    <cfRule type="cellIs" dxfId="90" priority="160" operator="greaterThan">
      <formula>$E$60</formula>
    </cfRule>
  </conditionalFormatting>
  <conditionalFormatting sqref="AZ77">
    <cfRule type="cellIs" dxfId="89" priority="159" operator="greaterThan">
      <formula>$E$77</formula>
    </cfRule>
  </conditionalFormatting>
  <conditionalFormatting sqref="AZ91">
    <cfRule type="cellIs" dxfId="88" priority="158" operator="greaterThan">
      <formula>$E$91</formula>
    </cfRule>
  </conditionalFormatting>
  <conditionalFormatting sqref="AZ47">
    <cfRule type="cellIs" dxfId="87" priority="153" operator="greaterThan">
      <formula>$E$47</formula>
    </cfRule>
  </conditionalFormatting>
  <conditionalFormatting sqref="AZ49">
    <cfRule type="cellIs" dxfId="86" priority="152" operator="greaterThan">
      <formula>$E$49</formula>
    </cfRule>
  </conditionalFormatting>
  <conditionalFormatting sqref="AZ58">
    <cfRule type="cellIs" dxfId="85" priority="151" operator="greaterThan">
      <formula>$E$58</formula>
    </cfRule>
  </conditionalFormatting>
  <conditionalFormatting sqref="BH60">
    <cfRule type="cellIs" dxfId="84" priority="146" operator="greaterThan">
      <formula>$E$60</formula>
    </cfRule>
  </conditionalFormatting>
  <conditionalFormatting sqref="BA77:BH77">
    <cfRule type="cellIs" dxfId="83" priority="145" operator="greaterThan">
      <formula>$E$77</formula>
    </cfRule>
  </conditionalFormatting>
  <conditionalFormatting sqref="BA91:BH91">
    <cfRule type="cellIs" dxfId="82" priority="144" operator="greaterThan">
      <formula>$E$91</formula>
    </cfRule>
  </conditionalFormatting>
  <conditionalFormatting sqref="BH47">
    <cfRule type="cellIs" dxfId="81" priority="139" operator="greaterThan">
      <formula>$E$47</formula>
    </cfRule>
  </conditionalFormatting>
  <conditionalFormatting sqref="BH49">
    <cfRule type="cellIs" dxfId="80" priority="138" operator="greaterThan">
      <formula>$E$49</formula>
    </cfRule>
  </conditionalFormatting>
  <conditionalFormatting sqref="BA58:BH58">
    <cfRule type="cellIs" dxfId="79" priority="137" operator="greaterThan">
      <formula>$E$58</formula>
    </cfRule>
  </conditionalFormatting>
  <conditionalFormatting sqref="BA60:BG60">
    <cfRule type="cellIs" dxfId="78" priority="135" operator="greaterThan">
      <formula>$E$60</formula>
    </cfRule>
  </conditionalFormatting>
  <conditionalFormatting sqref="BA47:BG47">
    <cfRule type="cellIs" dxfId="77" priority="127" operator="greaterThan">
      <formula>$E$47</formula>
    </cfRule>
  </conditionalFormatting>
  <conditionalFormatting sqref="BA49:BG49">
    <cfRule type="cellIs" dxfId="76" priority="126" operator="greaterThan">
      <formula>$E$49</formula>
    </cfRule>
  </conditionalFormatting>
  <conditionalFormatting sqref="BQ60">
    <cfRule type="cellIs" dxfId="75" priority="118" operator="greaterThan">
      <formula>$E$60</formula>
    </cfRule>
  </conditionalFormatting>
  <conditionalFormatting sqref="BJ77:BQ77">
    <cfRule type="cellIs" dxfId="74" priority="117" operator="greaterThan">
      <formula>$E$77</formula>
    </cfRule>
  </conditionalFormatting>
  <conditionalFormatting sqref="BJ91:BQ91">
    <cfRule type="cellIs" dxfId="73" priority="116" operator="greaterThan">
      <formula>$E$91</formula>
    </cfRule>
  </conditionalFormatting>
  <conditionalFormatting sqref="BQ47">
    <cfRule type="cellIs" dxfId="72" priority="111" operator="greaterThan">
      <formula>$E$47</formula>
    </cfRule>
  </conditionalFormatting>
  <conditionalFormatting sqref="BQ49">
    <cfRule type="cellIs" dxfId="71" priority="110" operator="greaterThan">
      <formula>$E$49</formula>
    </cfRule>
  </conditionalFormatting>
  <conditionalFormatting sqref="BJ58:BQ58">
    <cfRule type="cellIs" dxfId="70" priority="109" operator="greaterThan">
      <formula>$E$58</formula>
    </cfRule>
  </conditionalFormatting>
  <conditionalFormatting sqref="BJ47:BP47">
    <cfRule type="cellIs" dxfId="69" priority="100" operator="greaterThan">
      <formula>$E$47</formula>
    </cfRule>
  </conditionalFormatting>
  <conditionalFormatting sqref="BJ49:BP49">
    <cfRule type="cellIs" dxfId="68" priority="99" operator="greaterThan">
      <formula>$E$49</formula>
    </cfRule>
  </conditionalFormatting>
  <conditionalFormatting sqref="BJ60:BP60">
    <cfRule type="cellIs" dxfId="67" priority="94" operator="greaterThan">
      <formula>$E$60</formula>
    </cfRule>
  </conditionalFormatting>
  <conditionalFormatting sqref="F77">
    <cfRule type="cellIs" dxfId="66" priority="92" operator="equal">
      <formula>"OK"</formula>
    </cfRule>
    <cfRule type="cellIs" dxfId="65" priority="93" operator="greaterThan">
      <formula>$F$1</formula>
    </cfRule>
  </conditionalFormatting>
  <conditionalFormatting sqref="F77">
    <cfRule type="cellIs" dxfId="64" priority="91" operator="lessThan">
      <formula>$F$1</formula>
    </cfRule>
  </conditionalFormatting>
  <conditionalFormatting sqref="F81:F83">
    <cfRule type="cellIs" dxfId="63" priority="89" operator="equal">
      <formula>"OK"</formula>
    </cfRule>
    <cfRule type="cellIs" dxfId="62" priority="90" operator="greaterThan">
      <formula>$F$1</formula>
    </cfRule>
  </conditionalFormatting>
  <conditionalFormatting sqref="F81:F83">
    <cfRule type="cellIs" dxfId="61" priority="88" operator="lessThan">
      <formula>$F$1</formula>
    </cfRule>
  </conditionalFormatting>
  <conditionalFormatting sqref="F86">
    <cfRule type="cellIs" dxfId="60" priority="86" operator="equal">
      <formula>"OK"</formula>
    </cfRule>
    <cfRule type="cellIs" dxfId="59" priority="87" operator="greaterThan">
      <formula>$F$1</formula>
    </cfRule>
  </conditionalFormatting>
  <conditionalFormatting sqref="F86">
    <cfRule type="cellIs" dxfId="58" priority="85" operator="lessThan">
      <formula>$F$1</formula>
    </cfRule>
  </conditionalFormatting>
  <conditionalFormatting sqref="F90">
    <cfRule type="cellIs" dxfId="57" priority="83" operator="equal">
      <formula>"OK"</formula>
    </cfRule>
    <cfRule type="cellIs" dxfId="56" priority="84" operator="greaterThan">
      <formula>$F$1</formula>
    </cfRule>
  </conditionalFormatting>
  <conditionalFormatting sqref="F90">
    <cfRule type="cellIs" dxfId="55" priority="82" operator="lessThan">
      <formula>$F$1</formula>
    </cfRule>
  </conditionalFormatting>
  <conditionalFormatting sqref="F91">
    <cfRule type="cellIs" dxfId="54" priority="80" operator="equal">
      <formula>"OK"</formula>
    </cfRule>
    <cfRule type="cellIs" dxfId="53" priority="81" operator="greaterThan">
      <formula>$F$1</formula>
    </cfRule>
  </conditionalFormatting>
  <conditionalFormatting sqref="F91">
    <cfRule type="cellIs" dxfId="52" priority="79" operator="lessThan">
      <formula>$F$1</formula>
    </cfRule>
  </conditionalFormatting>
  <conditionalFormatting sqref="BZ60">
    <cfRule type="cellIs" dxfId="51" priority="75" operator="greaterThan">
      <formula>$E$60</formula>
    </cfRule>
  </conditionalFormatting>
  <conditionalFormatting sqref="BS77:BZ77">
    <cfRule type="cellIs" dxfId="50" priority="74" operator="greaterThan">
      <formula>$E$77</formula>
    </cfRule>
  </conditionalFormatting>
  <conditionalFormatting sqref="BS91:BZ91">
    <cfRule type="cellIs" dxfId="49" priority="73" operator="greaterThan">
      <formula>$E$91</formula>
    </cfRule>
  </conditionalFormatting>
  <conditionalFormatting sqref="BZ47">
    <cfRule type="cellIs" dxfId="48" priority="68" operator="greaterThan">
      <formula>$E$47</formula>
    </cfRule>
  </conditionalFormatting>
  <conditionalFormatting sqref="BZ49">
    <cfRule type="cellIs" dxfId="47" priority="67" operator="greaterThan">
      <formula>$E$49</formula>
    </cfRule>
  </conditionalFormatting>
  <conditionalFormatting sqref="BS58:BZ58">
    <cfRule type="cellIs" dxfId="46" priority="66" operator="greaterThan">
      <formula>$E$58</formula>
    </cfRule>
  </conditionalFormatting>
  <conditionalFormatting sqref="BS47:BY47">
    <cfRule type="cellIs" dxfId="45" priority="57" operator="greaterThan">
      <formula>$E$47</formula>
    </cfRule>
  </conditionalFormatting>
  <conditionalFormatting sqref="BS49:BY49">
    <cfRule type="cellIs" dxfId="44" priority="56" operator="greaterThan">
      <formula>$E$49</formula>
    </cfRule>
  </conditionalFormatting>
  <conditionalFormatting sqref="BS60:BY60">
    <cfRule type="cellIs" dxfId="43" priority="50" operator="greaterThan">
      <formula>$E$60</formula>
    </cfRule>
  </conditionalFormatting>
  <conditionalFormatting sqref="CI60">
    <cfRule type="cellIs" dxfId="42" priority="43" operator="greaterThan">
      <formula>$E$60</formula>
    </cfRule>
  </conditionalFormatting>
  <conditionalFormatting sqref="CB77:CI77">
    <cfRule type="cellIs" dxfId="41" priority="42" operator="greaterThan">
      <formula>$E$77</formula>
    </cfRule>
  </conditionalFormatting>
  <conditionalFormatting sqref="CB91:CI91">
    <cfRule type="cellIs" dxfId="40" priority="41" operator="greaterThan">
      <formula>$E$91</formula>
    </cfRule>
  </conditionalFormatting>
  <conditionalFormatting sqref="CI47">
    <cfRule type="cellIs" dxfId="39" priority="40" operator="greaterThan">
      <formula>$E$47</formula>
    </cfRule>
  </conditionalFormatting>
  <conditionalFormatting sqref="CI49">
    <cfRule type="cellIs" dxfId="38" priority="39" operator="greaterThan">
      <formula>$E$49</formula>
    </cfRule>
  </conditionalFormatting>
  <conditionalFormatting sqref="CB58:CI58">
    <cfRule type="cellIs" dxfId="37" priority="38" operator="greaterThan">
      <formula>$E$58</formula>
    </cfRule>
  </conditionalFormatting>
  <conditionalFormatting sqref="CB47:CH47">
    <cfRule type="cellIs" dxfId="36" priority="37" operator="greaterThan">
      <formula>$E$47</formula>
    </cfRule>
  </conditionalFormatting>
  <conditionalFormatting sqref="CB49:CH49">
    <cfRule type="cellIs" dxfId="35" priority="36" operator="greaterThan">
      <formula>$E$49</formula>
    </cfRule>
  </conditionalFormatting>
  <conditionalFormatting sqref="CB60:CH60">
    <cfRule type="cellIs" dxfId="34" priority="35" operator="greaterThan">
      <formula>$E$60</formula>
    </cfRule>
  </conditionalFormatting>
  <conditionalFormatting sqref="D23:E23 G23:CJ23 CS23:XFD23">
    <cfRule type="cellIs" dxfId="33" priority="34" operator="greaterThan">
      <formula>$E$23</formula>
    </cfRule>
  </conditionalFormatting>
  <conditionalFormatting sqref="D24:E24 G24:CJ24 CS24:XFD24">
    <cfRule type="cellIs" dxfId="32" priority="33" operator="greaterThan">
      <formula>$E$24</formula>
    </cfRule>
  </conditionalFormatting>
  <conditionalFormatting sqref="D25:E25 G25:CJ25 CS25:XFD25">
    <cfRule type="cellIs" dxfId="31" priority="32" operator="greaterThan">
      <formula>$E$25</formula>
    </cfRule>
  </conditionalFormatting>
  <conditionalFormatting sqref="D26:E26 G26:CJ26 CS26:XFD26">
    <cfRule type="cellIs" dxfId="30" priority="31" operator="greaterThan">
      <formula>$E$26</formula>
    </cfRule>
  </conditionalFormatting>
  <conditionalFormatting sqref="D28:E28 G28:CJ28 CS28:XFD28">
    <cfRule type="cellIs" dxfId="29" priority="30" operator="greaterThan">
      <formula>$E$28</formula>
    </cfRule>
  </conditionalFormatting>
  <conditionalFormatting sqref="D29:E29 G29:CJ29 CS29:XFD29">
    <cfRule type="cellIs" dxfId="28" priority="29" operator="greaterThan">
      <formula>"86.55952381$E$26"</formula>
    </cfRule>
  </conditionalFormatting>
  <conditionalFormatting sqref="D30:E30 G30:CJ30 CS30:XFD30">
    <cfRule type="cellIs" dxfId="27" priority="28" operator="greaterThan">
      <formula>"1.929201617$E$27"</formula>
    </cfRule>
  </conditionalFormatting>
  <conditionalFormatting sqref="D31:E31 G31:CJ31 CS31:XFD31">
    <cfRule type="cellIs" dxfId="26" priority="27" operator="greaterThan">
      <formula>$E$31</formula>
    </cfRule>
  </conditionalFormatting>
  <conditionalFormatting sqref="D32:E32 G32:CJ32 CS32:XFD32">
    <cfRule type="cellIs" dxfId="25" priority="26" operator="greaterThan">
      <formula>$E$32</formula>
    </cfRule>
  </conditionalFormatting>
  <conditionalFormatting sqref="D34:E34 G34:CJ34 CS34:XFD34">
    <cfRule type="cellIs" dxfId="24" priority="25" operator="greaterThan">
      <formula>$E$34</formula>
    </cfRule>
  </conditionalFormatting>
  <conditionalFormatting sqref="D35:E35 G35:CJ35 CS35:XFD35">
    <cfRule type="cellIs" dxfId="23" priority="24" operator="greaterThan">
      <formula>"209.9694139$E$32"</formula>
    </cfRule>
  </conditionalFormatting>
  <conditionalFormatting sqref="CF59:CH59">
    <cfRule type="cellIs" dxfId="22" priority="23" operator="greaterThan">
      <formula>$E$58</formula>
    </cfRule>
  </conditionalFormatting>
  <conditionalFormatting sqref="CR60">
    <cfRule type="cellIs" dxfId="21" priority="22" operator="greaterThan">
      <formula>$E$60</formula>
    </cfRule>
  </conditionalFormatting>
  <conditionalFormatting sqref="CK77:CR77">
    <cfRule type="cellIs" dxfId="20" priority="21" operator="greaterThan">
      <formula>$E$77</formula>
    </cfRule>
  </conditionalFormatting>
  <conditionalFormatting sqref="CK91:CR91">
    <cfRule type="cellIs" dxfId="19" priority="20" operator="greaterThan">
      <formula>$E$91</formula>
    </cfRule>
  </conditionalFormatting>
  <conditionalFormatting sqref="CR47">
    <cfRule type="cellIs" dxfId="18" priority="19" operator="greaterThan">
      <formula>$E$47</formula>
    </cfRule>
  </conditionalFormatting>
  <conditionalFormatting sqref="CR49">
    <cfRule type="cellIs" dxfId="17" priority="18" operator="greaterThan">
      <formula>$E$49</formula>
    </cfRule>
  </conditionalFormatting>
  <conditionalFormatting sqref="CK58:CR58">
    <cfRule type="cellIs" dxfId="16" priority="17" operator="greaterThan">
      <formula>$E$58</formula>
    </cfRule>
  </conditionalFormatting>
  <conditionalFormatting sqref="CK47:CQ47">
    <cfRule type="cellIs" dxfId="15" priority="16" operator="greaterThan">
      <formula>$E$47</formula>
    </cfRule>
  </conditionalFormatting>
  <conditionalFormatting sqref="CK49:CQ49">
    <cfRule type="cellIs" dxfId="14" priority="15" operator="greaterThan">
      <formula>$E$49</formula>
    </cfRule>
  </conditionalFormatting>
  <conditionalFormatting sqref="CN60:CQ60">
    <cfRule type="cellIs" dxfId="13" priority="14" operator="greaterThan">
      <formula>$E$60</formula>
    </cfRule>
  </conditionalFormatting>
  <conditionalFormatting sqref="CK23:CR23">
    <cfRule type="cellIs" dxfId="12" priority="13" operator="greaterThan">
      <formula>$E$23</formula>
    </cfRule>
  </conditionalFormatting>
  <conditionalFormatting sqref="CK24:CR24">
    <cfRule type="cellIs" dxfId="11" priority="12" operator="greaterThan">
      <formula>$E$24</formula>
    </cfRule>
  </conditionalFormatting>
  <conditionalFormatting sqref="CK25:CR25">
    <cfRule type="cellIs" dxfId="10" priority="11" operator="greaterThan">
      <formula>$E$25</formula>
    </cfRule>
  </conditionalFormatting>
  <conditionalFormatting sqref="CK26:CR26">
    <cfRule type="cellIs" dxfId="9" priority="10" operator="greaterThan">
      <formula>$E$26</formula>
    </cfRule>
  </conditionalFormatting>
  <conditionalFormatting sqref="CK28:CR28">
    <cfRule type="cellIs" dxfId="8" priority="9" operator="greaterThan">
      <formula>$E$28</formula>
    </cfRule>
  </conditionalFormatting>
  <conditionalFormatting sqref="CK29:CR29">
    <cfRule type="cellIs" dxfId="7" priority="8" operator="greaterThan">
      <formula>"86.55952381$E$26"</formula>
    </cfRule>
  </conditionalFormatting>
  <conditionalFormatting sqref="CK30:CR30">
    <cfRule type="cellIs" dxfId="6" priority="7" operator="greaterThan">
      <formula>"1.929201617$E$27"</formula>
    </cfRule>
  </conditionalFormatting>
  <conditionalFormatting sqref="CK31:CR31">
    <cfRule type="cellIs" dxfId="5" priority="6" operator="greaterThan">
      <formula>$E$31</formula>
    </cfRule>
  </conditionalFormatting>
  <conditionalFormatting sqref="CK32:CR32">
    <cfRule type="cellIs" dxfId="4" priority="5" operator="greaterThan">
      <formula>$E$32</formula>
    </cfRule>
  </conditionalFormatting>
  <conditionalFormatting sqref="CK34:CR34">
    <cfRule type="cellIs" dxfId="3" priority="4" operator="greaterThan">
      <formula>$E$34</formula>
    </cfRule>
  </conditionalFormatting>
  <conditionalFormatting sqref="CK35:CR35">
    <cfRule type="cellIs" dxfId="2" priority="3" operator="greaterThan">
      <formula>"209.9694139$E$32"</formula>
    </cfRule>
  </conditionalFormatting>
  <conditionalFormatting sqref="CO59:CQ59">
    <cfRule type="cellIs" dxfId="1" priority="2" operator="greaterThan">
      <formula>$E$58</formula>
    </cfRule>
  </conditionalFormatting>
  <conditionalFormatting sqref="CK60:CM60">
    <cfRule type="cellIs" dxfId="0" priority="1" operator="greaterThan">
      <formula>$E$60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DDS</vt:lpstr>
      <vt:lpstr>Base de Datos</vt:lpstr>
      <vt:lpstr>Targets Benchmark</vt:lpstr>
      <vt:lpstr>Frick y Freezer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Eugenio Aguirre</dc:creator>
  <cp:lastModifiedBy>SJM</cp:lastModifiedBy>
  <dcterms:created xsi:type="dcterms:W3CDTF">2020-02-28T19:16:55Z</dcterms:created>
  <dcterms:modified xsi:type="dcterms:W3CDTF">2020-06-02T13:42:03Z</dcterms:modified>
</cp:coreProperties>
</file>