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evens0-my.sharepoint.com/personal/tchen46_stevens_edu/Documents/"/>
    </mc:Choice>
  </mc:AlternateContent>
  <xr:revisionPtr revIDLastSave="49" documentId="6_{436BAF26-D62F-4FF6-8FB9-FB842DFA0EDA}" xr6:coauthVersionLast="47" xr6:coauthVersionMax="47" xr10:uidLastSave="{5D154A2B-53C3-42AE-B7AD-3D0E3924189E}"/>
  <bookViews>
    <workbookView xWindow="-120" yWindow="-120" windowWidth="38640" windowHeight="21840" tabRatio="808" xr2:uid="{00000000-000D-0000-FFFF-FFFF00000000}"/>
  </bookViews>
  <sheets>
    <sheet name="MAIN" sheetId="3" r:id="rId1"/>
    <sheet name="Revenue" sheetId="32" r:id="rId2"/>
    <sheet name="Assumptions" sheetId="13" r:id="rId3"/>
    <sheet name="Calcs" sheetId="5" r:id="rId4"/>
    <sheet name="Debt" sheetId="6" r:id="rId5"/>
    <sheet name="IncState" sheetId="7" r:id="rId6"/>
    <sheet name="BalSheet" sheetId="8" r:id="rId7"/>
    <sheet name="CashFlow" sheetId="9" r:id="rId8"/>
    <sheet name="Free Cash Flow" sheetId="10" r:id="rId9"/>
    <sheet name="WACC" sheetId="11" r:id="rId10"/>
    <sheet name="DCF Model" sheetId="12" r:id="rId11"/>
    <sheet name="SOTP" sheetId="23" r:id="rId12"/>
    <sheet name="Presentation" sheetId="22" r:id="rId13"/>
  </sheets>
  <externalReferences>
    <externalReference r:id="rId14"/>
  </externalReferences>
  <definedNames>
    <definedName name="Ccy">MAIN!$C$6</definedName>
    <definedName name="CIQWBGuid" hidden="1">"3fed39ac-8be9-4d46-8f70-028dfd35ab66"</definedName>
    <definedName name="CIQWBInfo" hidden="1">"{ ""CIQVersion"":""9.48.1616.5174"" }"</definedName>
    <definedName name="circ">MAIN!$C$9</definedName>
    <definedName name="CoName">MAIN!$C$4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pCase">[1]DCF!$E$98</definedName>
    <definedName name="ScenarioREV">Assumptions!$D$4</definedName>
    <definedName name="TTS" comment="Updated: April 2023">#REF!</definedName>
    <definedName name="Units">MAIN!$C$7</definedName>
    <definedName name="wacc">WACC!$E$13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2" l="1"/>
  <c r="K17" i="12"/>
  <c r="G28" i="12" s="1"/>
  <c r="K16" i="12"/>
  <c r="E32" i="12"/>
  <c r="E33" i="12" s="1"/>
  <c r="E3" i="12"/>
  <c r="F3" i="12"/>
  <c r="G3" i="12"/>
  <c r="H3" i="12"/>
  <c r="I3" i="12"/>
  <c r="J3" i="12"/>
  <c r="K3" i="12"/>
  <c r="D3" i="12"/>
  <c r="E30" i="12" l="1"/>
  <c r="E29" i="12" s="1"/>
  <c r="M10" i="32" l="1"/>
  <c r="N10" i="32" s="1"/>
  <c r="O10" i="32" s="1"/>
  <c r="P10" i="32" s="1"/>
  <c r="Q10" i="32" s="1"/>
  <c r="R10" i="32" s="1"/>
  <c r="S10" i="32" s="1"/>
  <c r="D22" i="3"/>
  <c r="C22" i="3"/>
  <c r="D18" i="3"/>
  <c r="C18" i="3"/>
  <c r="D14" i="3"/>
  <c r="C14" i="3"/>
  <c r="C17" i="12"/>
  <c r="G17" i="12" s="1"/>
  <c r="C13" i="12"/>
  <c r="G13" i="12" s="1"/>
  <c r="C14" i="12"/>
  <c r="G14" i="12" s="1"/>
  <c r="G29" i="7"/>
  <c r="H29" i="7"/>
  <c r="I29" i="7"/>
  <c r="J29" i="7"/>
  <c r="K29" i="7"/>
  <c r="L29" i="7"/>
  <c r="M29" i="7"/>
  <c r="E23" i="5"/>
  <c r="E22" i="5"/>
  <c r="E20" i="5"/>
  <c r="F29" i="7"/>
  <c r="E17" i="5"/>
  <c r="F13" i="5" s="1"/>
  <c r="E20" i="6"/>
  <c r="F17" i="6" s="1"/>
  <c r="E27" i="8"/>
  <c r="E50" i="13" s="1"/>
  <c r="E24" i="8"/>
  <c r="F33" i="13" s="1"/>
  <c r="D27" i="8"/>
  <c r="D50" i="13" s="1"/>
  <c r="D24" i="8"/>
  <c r="E33" i="13" s="1"/>
  <c r="C27" i="8"/>
  <c r="C50" i="13" s="1"/>
  <c r="C24" i="8"/>
  <c r="D33" i="13" s="1"/>
  <c r="N22" i="32"/>
  <c r="M22" i="32"/>
  <c r="L22" i="32"/>
  <c r="K22" i="32"/>
  <c r="J22" i="32"/>
  <c r="I22" i="32"/>
  <c r="H22" i="32"/>
  <c r="G22" i="32"/>
  <c r="F22" i="32"/>
  <c r="E22" i="32"/>
  <c r="D22" i="32"/>
  <c r="O22" i="32"/>
  <c r="E17" i="13"/>
  <c r="D17" i="13"/>
  <c r="F38" i="13"/>
  <c r="F17" i="13" s="1"/>
  <c r="D2" i="9"/>
  <c r="E2" i="9" s="1"/>
  <c r="F2" i="9" s="1"/>
  <c r="G2" i="9" s="1"/>
  <c r="H2" i="9" s="1"/>
  <c r="I2" i="9" s="1"/>
  <c r="J2" i="9" s="1"/>
  <c r="K2" i="9" s="1"/>
  <c r="L2" i="9" s="1"/>
  <c r="M2" i="9" s="1"/>
  <c r="D2" i="8"/>
  <c r="E2" i="8" s="1"/>
  <c r="F2" i="8" s="1"/>
  <c r="G2" i="8" s="1"/>
  <c r="H2" i="8" s="1"/>
  <c r="I2" i="8" s="1"/>
  <c r="J2" i="8" s="1"/>
  <c r="K2" i="8" s="1"/>
  <c r="L2" i="8" s="1"/>
  <c r="M2" i="8" s="1"/>
  <c r="D2" i="7"/>
  <c r="E2" i="7" s="1"/>
  <c r="F2" i="7" s="1"/>
  <c r="G2" i="7" s="1"/>
  <c r="H2" i="7" s="1"/>
  <c r="I2" i="7" s="1"/>
  <c r="J2" i="7" s="1"/>
  <c r="K2" i="7" s="1"/>
  <c r="L2" i="7" s="1"/>
  <c r="M2" i="7" s="1"/>
  <c r="D2" i="6"/>
  <c r="E2" i="6" s="1"/>
  <c r="F2" i="6" s="1"/>
  <c r="G2" i="6" s="1"/>
  <c r="H2" i="6" s="1"/>
  <c r="I2" i="6" s="1"/>
  <c r="J2" i="6" s="1"/>
  <c r="K2" i="6" s="1"/>
  <c r="L2" i="6" s="1"/>
  <c r="M2" i="6" s="1"/>
  <c r="L9" i="32"/>
  <c r="J15" i="32"/>
  <c r="I15" i="32"/>
  <c r="H15" i="32"/>
  <c r="G15" i="32"/>
  <c r="K7" i="32"/>
  <c r="L7" i="32" s="1"/>
  <c r="M7" i="32" s="1"/>
  <c r="N7" i="32" s="1"/>
  <c r="O7" i="32" s="1"/>
  <c r="P7" i="32" s="1"/>
  <c r="Q7" i="32" s="1"/>
  <c r="R7" i="32" s="1"/>
  <c r="S7" i="32" s="1"/>
  <c r="F7" i="32"/>
  <c r="E7" i="32"/>
  <c r="D7" i="32"/>
  <c r="K4" i="32"/>
  <c r="F4" i="32"/>
  <c r="E4" i="32"/>
  <c r="D4" i="32"/>
  <c r="K10" i="32"/>
  <c r="F10" i="32"/>
  <c r="E10" i="32"/>
  <c r="D10" i="32"/>
  <c r="K13" i="32"/>
  <c r="F13" i="32"/>
  <c r="E13" i="32"/>
  <c r="D13" i="32"/>
  <c r="K15" i="32"/>
  <c r="K14" i="32" s="1"/>
  <c r="C7" i="23" s="1"/>
  <c r="D7" i="23" s="1"/>
  <c r="E7" i="23" s="1"/>
  <c r="G7" i="23" s="1"/>
  <c r="F15" i="32"/>
  <c r="F5" i="32" s="1"/>
  <c r="E15" i="32"/>
  <c r="D15" i="32"/>
  <c r="C15" i="32"/>
  <c r="D2" i="32"/>
  <c r="E2" i="32" s="1"/>
  <c r="F2" i="32" s="1"/>
  <c r="K2" i="32" s="1"/>
  <c r="L2" i="32" s="1"/>
  <c r="M2" i="32" s="1"/>
  <c r="N2" i="32" s="1"/>
  <c r="O2" i="32" s="1"/>
  <c r="P2" i="32" s="1"/>
  <c r="Q2" i="32" s="1"/>
  <c r="R2" i="32" s="1"/>
  <c r="S2" i="32" s="1"/>
  <c r="A1" i="32"/>
  <c r="E24" i="13"/>
  <c r="C24" i="13"/>
  <c r="D54" i="13"/>
  <c r="E54" i="13"/>
  <c r="D56" i="13"/>
  <c r="C56" i="13"/>
  <c r="C54" i="13"/>
  <c r="D46" i="13"/>
  <c r="E46" i="13"/>
  <c r="D47" i="13"/>
  <c r="E47" i="13"/>
  <c r="C47" i="13"/>
  <c r="C46" i="13"/>
  <c r="D11" i="13"/>
  <c r="E11" i="13"/>
  <c r="D12" i="13"/>
  <c r="E12" i="13"/>
  <c r="C12" i="13"/>
  <c r="C11" i="13"/>
  <c r="D39" i="13"/>
  <c r="D18" i="13" s="1"/>
  <c r="E39" i="13"/>
  <c r="E18" i="13" s="1"/>
  <c r="C39" i="13"/>
  <c r="C18" i="13" s="1"/>
  <c r="E32" i="13"/>
  <c r="D32" i="13"/>
  <c r="C32" i="13"/>
  <c r="E38" i="8"/>
  <c r="E56" i="13" s="1"/>
  <c r="E34" i="8"/>
  <c r="E55" i="13" s="1"/>
  <c r="D34" i="8"/>
  <c r="D55" i="13" s="1"/>
  <c r="C34" i="8"/>
  <c r="C55" i="13" s="1"/>
  <c r="C26" i="8"/>
  <c r="C49" i="13" s="1"/>
  <c r="C25" i="8"/>
  <c r="C19" i="8"/>
  <c r="C45" i="13" s="1"/>
  <c r="D26" i="8"/>
  <c r="D49" i="13" s="1"/>
  <c r="D25" i="8"/>
  <c r="D19" i="8"/>
  <c r="D45" i="13" s="1"/>
  <c r="E26" i="8"/>
  <c r="E49" i="13" s="1"/>
  <c r="F49" i="13" s="1"/>
  <c r="E25" i="8"/>
  <c r="E19" i="8"/>
  <c r="E21" i="5" s="1"/>
  <c r="D17" i="8"/>
  <c r="D18" i="8" s="1"/>
  <c r="D25" i="13" s="1"/>
  <c r="C17" i="8"/>
  <c r="C44" i="13" s="1"/>
  <c r="E17" i="8"/>
  <c r="E18" i="8" s="1"/>
  <c r="F7" i="3" s="1"/>
  <c r="C12" i="12" s="1"/>
  <c r="G12" i="12" s="1"/>
  <c r="C39" i="7"/>
  <c r="C36" i="7" s="1"/>
  <c r="D39" i="7"/>
  <c r="D36" i="7" s="1"/>
  <c r="E39" i="7"/>
  <c r="E36" i="7" s="1"/>
  <c r="C26" i="7"/>
  <c r="C15" i="13" s="1"/>
  <c r="D29" i="7"/>
  <c r="D24" i="13" s="1"/>
  <c r="D26" i="7"/>
  <c r="D15" i="13" s="1"/>
  <c r="E26" i="7"/>
  <c r="E15" i="13" s="1"/>
  <c r="F24" i="13" l="1"/>
  <c r="G24" i="13" s="1"/>
  <c r="E19" i="5"/>
  <c r="E40" i="13"/>
  <c r="E19" i="13" s="1"/>
  <c r="D40" i="13"/>
  <c r="D19" i="13" s="1"/>
  <c r="K11" i="32"/>
  <c r="C6" i="23" s="1"/>
  <c r="D6" i="23" s="1"/>
  <c r="E6" i="23" s="1"/>
  <c r="G6" i="23" s="1"/>
  <c r="C18" i="8"/>
  <c r="C25" i="13" s="1"/>
  <c r="F14" i="32"/>
  <c r="E9" i="5"/>
  <c r="F6" i="5" s="1"/>
  <c r="F11" i="32"/>
  <c r="F8" i="32"/>
  <c r="K8" i="32"/>
  <c r="C5" i="23" s="1"/>
  <c r="D5" i="23" s="1"/>
  <c r="E5" i="23" s="1"/>
  <c r="G5" i="23" s="1"/>
  <c r="E45" i="13"/>
  <c r="E24" i="5"/>
  <c r="C40" i="13"/>
  <c r="C19" i="13" s="1"/>
  <c r="F39" i="13"/>
  <c r="G39" i="13" s="1"/>
  <c r="H39" i="13" s="1"/>
  <c r="I39" i="13" s="1"/>
  <c r="J39" i="13" s="1"/>
  <c r="K39" i="13" s="1"/>
  <c r="L39" i="13" s="1"/>
  <c r="M39" i="13" s="1"/>
  <c r="E14" i="32"/>
  <c r="E11" i="32"/>
  <c r="E8" i="32"/>
  <c r="E5" i="32"/>
  <c r="G38" i="13"/>
  <c r="K5" i="32"/>
  <c r="C4" i="23" s="1"/>
  <c r="D4" i="23" s="1"/>
  <c r="E4" i="23" s="1"/>
  <c r="G4" i="23" s="1"/>
  <c r="E25" i="13"/>
  <c r="E31" i="6"/>
  <c r="E33" i="6" s="1"/>
  <c r="F21" i="9"/>
  <c r="D14" i="32"/>
  <c r="D11" i="32"/>
  <c r="D8" i="32"/>
  <c r="D5" i="32"/>
  <c r="D44" i="13"/>
  <c r="L4" i="32"/>
  <c r="L3" i="32" s="1"/>
  <c r="E44" i="13"/>
  <c r="L13" i="32"/>
  <c r="M13" i="32" s="1"/>
  <c r="N13" i="32" s="1"/>
  <c r="O13" i="32" s="1"/>
  <c r="P13" i="32" s="1"/>
  <c r="Q13" i="32" s="1"/>
  <c r="R13" i="32" s="1"/>
  <c r="S13" i="32" s="1"/>
  <c r="M9" i="32"/>
  <c r="N9" i="32" s="1"/>
  <c r="O9" i="32" s="1"/>
  <c r="P9" i="32" s="1"/>
  <c r="Q9" i="32" s="1"/>
  <c r="L6" i="32"/>
  <c r="M6" i="32" s="1"/>
  <c r="N6" i="32" s="1"/>
  <c r="D16" i="32"/>
  <c r="F16" i="32"/>
  <c r="D10" i="13" s="1"/>
  <c r="K16" i="32"/>
  <c r="E10" i="13" s="1"/>
  <c r="E16" i="32"/>
  <c r="C10" i="13" s="1"/>
  <c r="G8" i="7"/>
  <c r="G25" i="7" s="1"/>
  <c r="H8" i="7"/>
  <c r="H25" i="7" s="1"/>
  <c r="I8" i="7"/>
  <c r="I25" i="7" s="1"/>
  <c r="J8" i="7"/>
  <c r="J25" i="7" s="1"/>
  <c r="K8" i="7"/>
  <c r="K25" i="7" s="1"/>
  <c r="L8" i="7"/>
  <c r="L25" i="7" s="1"/>
  <c r="M8" i="7"/>
  <c r="M25" i="7" s="1"/>
  <c r="G9" i="7"/>
  <c r="G26" i="7" s="1"/>
  <c r="H9" i="7"/>
  <c r="H26" i="7" s="1"/>
  <c r="I9" i="7"/>
  <c r="I26" i="7" s="1"/>
  <c r="J9" i="7"/>
  <c r="J26" i="7" s="1"/>
  <c r="K9" i="7"/>
  <c r="K26" i="7" s="1"/>
  <c r="L9" i="7"/>
  <c r="L26" i="7" s="1"/>
  <c r="M9" i="7"/>
  <c r="M26" i="7" s="1"/>
  <c r="A1" i="10"/>
  <c r="D22" i="8"/>
  <c r="E22" i="8"/>
  <c r="D28" i="8"/>
  <c r="C28" i="8"/>
  <c r="E28" i="8"/>
  <c r="E35" i="8"/>
  <c r="C35" i="8"/>
  <c r="D35" i="8"/>
  <c r="C39" i="8"/>
  <c r="D39" i="8"/>
  <c r="E39" i="8"/>
  <c r="F6" i="3"/>
  <c r="F13" i="13"/>
  <c r="F7" i="7" s="1"/>
  <c r="F25" i="8" s="1"/>
  <c r="F11" i="7"/>
  <c r="F35" i="7" s="1"/>
  <c r="G33" i="13"/>
  <c r="H33" i="13" s="1"/>
  <c r="I33" i="13" s="1"/>
  <c r="J33" i="13" s="1"/>
  <c r="K33" i="13" s="1"/>
  <c r="L33" i="13" s="1"/>
  <c r="M33" i="13" s="1"/>
  <c r="A1" i="22"/>
  <c r="A1" i="23"/>
  <c r="K11" i="6"/>
  <c r="K8" i="6"/>
  <c r="L8" i="6"/>
  <c r="M8" i="6"/>
  <c r="K9" i="6"/>
  <c r="K19" i="6" s="1"/>
  <c r="L9" i="6"/>
  <c r="L19" i="6" s="1"/>
  <c r="M9" i="6"/>
  <c r="M19" i="6" s="1"/>
  <c r="J11" i="6"/>
  <c r="J30" i="6" s="1"/>
  <c r="I11" i="6"/>
  <c r="I30" i="6" s="1"/>
  <c r="H11" i="6"/>
  <c r="H16" i="6" s="1"/>
  <c r="H24" i="6" s="1"/>
  <c r="G11" i="6"/>
  <c r="G16" i="6" s="1"/>
  <c r="G24" i="6" s="1"/>
  <c r="F11" i="6"/>
  <c r="F30" i="6" s="1"/>
  <c r="E11" i="6"/>
  <c r="E16" i="6" s="1"/>
  <c r="E24" i="6" s="1"/>
  <c r="D11" i="6"/>
  <c r="D16" i="6" s="1"/>
  <c r="D24" i="6" s="1"/>
  <c r="C11" i="6"/>
  <c r="C30" i="6" s="1"/>
  <c r="K11" i="5"/>
  <c r="L11" i="5"/>
  <c r="M11" i="5"/>
  <c r="F23" i="13"/>
  <c r="F4" i="6" s="1"/>
  <c r="G49" i="13"/>
  <c r="F46" i="13"/>
  <c r="F6" i="8" s="1"/>
  <c r="J16" i="8"/>
  <c r="I16" i="8"/>
  <c r="H16" i="8"/>
  <c r="G16" i="8"/>
  <c r="F16" i="8"/>
  <c r="E16" i="8"/>
  <c r="D16" i="8"/>
  <c r="C16" i="8"/>
  <c r="K16" i="8"/>
  <c r="M16" i="8"/>
  <c r="F9" i="7"/>
  <c r="F26" i="7" s="1"/>
  <c r="F54" i="13"/>
  <c r="F12" i="8" s="1"/>
  <c r="D19" i="7"/>
  <c r="A1" i="3"/>
  <c r="A1" i="13"/>
  <c r="A1" i="5"/>
  <c r="A1" i="6"/>
  <c r="A1" i="7"/>
  <c r="A1" i="8"/>
  <c r="A1" i="9"/>
  <c r="A1" i="11"/>
  <c r="A1" i="12"/>
  <c r="F47" i="13"/>
  <c r="C19" i="7"/>
  <c r="F8" i="6"/>
  <c r="F11" i="5"/>
  <c r="B21" i="5"/>
  <c r="B20" i="5"/>
  <c r="F9" i="6"/>
  <c r="F19" i="6" s="1"/>
  <c r="G9" i="6"/>
  <c r="G19" i="6" s="1"/>
  <c r="H9" i="6"/>
  <c r="H19" i="6" s="1"/>
  <c r="I9" i="6"/>
  <c r="I19" i="6" s="1"/>
  <c r="J9" i="6"/>
  <c r="J19" i="6" s="1"/>
  <c r="J8" i="6"/>
  <c r="I8" i="6"/>
  <c r="H8" i="6"/>
  <c r="G8" i="6"/>
  <c r="J11" i="5"/>
  <c r="I11" i="5"/>
  <c r="H11" i="5"/>
  <c r="E2" i="12"/>
  <c r="F2" i="12" s="1"/>
  <c r="G2" i="12" s="1"/>
  <c r="H2" i="12" s="1"/>
  <c r="I2" i="12" s="1"/>
  <c r="J2" i="12" s="1"/>
  <c r="K2" i="12" s="1"/>
  <c r="F8" i="7"/>
  <c r="F25" i="7" s="1"/>
  <c r="G11" i="5"/>
  <c r="C22" i="8" l="1"/>
  <c r="C30" i="8" s="1"/>
  <c r="F25" i="13"/>
  <c r="F6" i="6" s="1"/>
  <c r="F32" i="6" s="1"/>
  <c r="F40" i="13"/>
  <c r="G40" i="13" s="1"/>
  <c r="H40" i="13" s="1"/>
  <c r="I40" i="13" s="1"/>
  <c r="J40" i="13" s="1"/>
  <c r="K40" i="13" s="1"/>
  <c r="L40" i="13" s="1"/>
  <c r="M40" i="13" s="1"/>
  <c r="L12" i="32"/>
  <c r="M12" i="32" s="1"/>
  <c r="N12" i="32" s="1"/>
  <c r="O12" i="32" s="1"/>
  <c r="P12" i="32" s="1"/>
  <c r="Q12" i="32" s="1"/>
  <c r="E25" i="5"/>
  <c r="G8" i="23"/>
  <c r="G9" i="23" s="1"/>
  <c r="E13" i="3" s="1"/>
  <c r="F13" i="3" s="1"/>
  <c r="F14" i="3" s="1"/>
  <c r="R12" i="32"/>
  <c r="S12" i="32" s="1"/>
  <c r="F15" i="9"/>
  <c r="F16" i="5"/>
  <c r="K16" i="5"/>
  <c r="K15" i="9"/>
  <c r="L16" i="5"/>
  <c r="L15" i="9"/>
  <c r="L16" i="9"/>
  <c r="L18" i="6"/>
  <c r="J15" i="9"/>
  <c r="J16" i="5"/>
  <c r="G18" i="6"/>
  <c r="G16" i="9"/>
  <c r="H18" i="6"/>
  <c r="H16" i="9"/>
  <c r="F22" i="7"/>
  <c r="F5" i="9"/>
  <c r="F9" i="10" s="1"/>
  <c r="I16" i="9"/>
  <c r="I18" i="6"/>
  <c r="M4" i="32"/>
  <c r="N4" i="32" s="1"/>
  <c r="O4" i="32" s="1"/>
  <c r="P4" i="32" s="1"/>
  <c r="Q4" i="32" s="1"/>
  <c r="R4" i="32" s="1"/>
  <c r="S4" i="32" s="1"/>
  <c r="M16" i="5"/>
  <c r="M15" i="9"/>
  <c r="F18" i="6"/>
  <c r="F20" i="6" s="1"/>
  <c r="F16" i="9"/>
  <c r="G16" i="5"/>
  <c r="G15" i="9"/>
  <c r="M16" i="9"/>
  <c r="M18" i="6"/>
  <c r="K16" i="9"/>
  <c r="K18" i="6"/>
  <c r="H15" i="9"/>
  <c r="H16" i="5"/>
  <c r="G17" i="13"/>
  <c r="H38" i="13"/>
  <c r="I15" i="9"/>
  <c r="I16" i="5"/>
  <c r="J16" i="9"/>
  <c r="J18" i="6"/>
  <c r="C42" i="8"/>
  <c r="F10" i="3"/>
  <c r="R9" i="32"/>
  <c r="S9" i="32" s="1"/>
  <c r="O6" i="32"/>
  <c r="G46" i="13"/>
  <c r="H46" i="13" s="1"/>
  <c r="H6" i="8" s="1"/>
  <c r="D42" i="8"/>
  <c r="C31" i="7"/>
  <c r="D31" i="7"/>
  <c r="D23" i="7"/>
  <c r="G30" i="6"/>
  <c r="E30" i="6"/>
  <c r="F5" i="6"/>
  <c r="F21" i="6" s="1"/>
  <c r="F10" i="8"/>
  <c r="F26" i="8" s="1"/>
  <c r="G5" i="6"/>
  <c r="G21" i="6" s="1"/>
  <c r="H24" i="13"/>
  <c r="G54" i="13"/>
  <c r="G13" i="13"/>
  <c r="G23" i="13"/>
  <c r="G4" i="6" s="1"/>
  <c r="F16" i="6"/>
  <c r="F24" i="6" s="1"/>
  <c r="L11" i="6"/>
  <c r="L30" i="6" s="1"/>
  <c r="K16" i="6"/>
  <c r="K24" i="6" s="1"/>
  <c r="K30" i="6"/>
  <c r="D30" i="6"/>
  <c r="M11" i="6"/>
  <c r="J16" i="6"/>
  <c r="J24" i="6" s="1"/>
  <c r="D30" i="8"/>
  <c r="L16" i="8"/>
  <c r="C16" i="6"/>
  <c r="C24" i="6" s="1"/>
  <c r="I16" i="6"/>
  <c r="I24" i="6" s="1"/>
  <c r="H30" i="6"/>
  <c r="E42" i="8"/>
  <c r="E30" i="8"/>
  <c r="G10" i="8"/>
  <c r="G26" i="8" s="1"/>
  <c r="H49" i="13"/>
  <c r="H10" i="8" s="1"/>
  <c r="H26" i="8" s="1"/>
  <c r="F4" i="5"/>
  <c r="C23" i="7"/>
  <c r="F7" i="8"/>
  <c r="G47" i="13"/>
  <c r="F44" i="13"/>
  <c r="F55" i="13"/>
  <c r="F45" i="13"/>
  <c r="E19" i="7"/>
  <c r="E31" i="7" s="1"/>
  <c r="E16" i="13" s="1"/>
  <c r="F16" i="13" s="1"/>
  <c r="G16" i="13" s="1"/>
  <c r="G10" i="7" s="1"/>
  <c r="G5" i="10" s="1"/>
  <c r="F50" i="13"/>
  <c r="F56" i="13"/>
  <c r="G25" i="13" l="1"/>
  <c r="G6" i="6" s="1"/>
  <c r="G32" i="6" s="1"/>
  <c r="L15" i="32"/>
  <c r="F32" i="13" s="1"/>
  <c r="G32" i="13" s="1"/>
  <c r="E17" i="3"/>
  <c r="F17" i="3" s="1"/>
  <c r="F18" i="3" s="1"/>
  <c r="E14" i="3"/>
  <c r="C44" i="8"/>
  <c r="H16" i="13"/>
  <c r="H10" i="7" s="1"/>
  <c r="H5" i="10" s="1"/>
  <c r="D34" i="7"/>
  <c r="D16" i="13"/>
  <c r="F26" i="6"/>
  <c r="F27" i="6" s="1"/>
  <c r="F37" i="8" s="1"/>
  <c r="F22" i="6"/>
  <c r="F28" i="6" s="1"/>
  <c r="G17" i="6"/>
  <c r="G20" i="6" s="1"/>
  <c r="C34" i="7"/>
  <c r="C16" i="13"/>
  <c r="M3" i="32"/>
  <c r="H17" i="13"/>
  <c r="H11" i="7" s="1"/>
  <c r="H35" i="7" s="1"/>
  <c r="I38" i="13"/>
  <c r="G4" i="5"/>
  <c r="H4" i="5" s="1"/>
  <c r="I4" i="5" s="1"/>
  <c r="J4" i="5" s="1"/>
  <c r="K4" i="5" s="1"/>
  <c r="L4" i="5" s="1"/>
  <c r="M4" i="5" s="1"/>
  <c r="F8" i="5"/>
  <c r="N3" i="32"/>
  <c r="M15" i="32"/>
  <c r="P6" i="32"/>
  <c r="Q6" i="32" s="1"/>
  <c r="R6" i="32" s="1"/>
  <c r="S6" i="32" s="1"/>
  <c r="G6" i="8"/>
  <c r="I46" i="13"/>
  <c r="I6" i="8" s="1"/>
  <c r="D44" i="8"/>
  <c r="E44" i="8"/>
  <c r="G11" i="7"/>
  <c r="G35" i="7" s="1"/>
  <c r="H5" i="6"/>
  <c r="H21" i="6" s="1"/>
  <c r="I24" i="13"/>
  <c r="I49" i="13"/>
  <c r="J49" i="13" s="1"/>
  <c r="K49" i="13" s="1"/>
  <c r="L49" i="13" s="1"/>
  <c r="M49" i="13" s="1"/>
  <c r="H23" i="13"/>
  <c r="H4" i="6" s="1"/>
  <c r="H13" i="13"/>
  <c r="G7" i="7"/>
  <c r="G12" i="8"/>
  <c r="H54" i="13"/>
  <c r="L16" i="6"/>
  <c r="L24" i="6" s="1"/>
  <c r="M16" i="6"/>
  <c r="M24" i="6" s="1"/>
  <c r="M30" i="6"/>
  <c r="F5" i="8"/>
  <c r="G45" i="13"/>
  <c r="G44" i="13"/>
  <c r="H44" i="13" s="1"/>
  <c r="I44" i="13" s="1"/>
  <c r="J44" i="13" s="1"/>
  <c r="K44" i="13" s="1"/>
  <c r="L44" i="13" s="1"/>
  <c r="M44" i="13" s="1"/>
  <c r="F4" i="8"/>
  <c r="G4" i="8" s="1"/>
  <c r="F12" i="13"/>
  <c r="G12" i="13" s="1"/>
  <c r="F14" i="8"/>
  <c r="G56" i="13"/>
  <c r="G50" i="13"/>
  <c r="F9" i="8"/>
  <c r="F11" i="13"/>
  <c r="G11" i="13" s="1"/>
  <c r="E34" i="7"/>
  <c r="E23" i="7"/>
  <c r="F13" i="8"/>
  <c r="G55" i="13"/>
  <c r="G7" i="8"/>
  <c r="H47" i="13"/>
  <c r="H25" i="13" l="1"/>
  <c r="I25" i="13" s="1"/>
  <c r="J25" i="13" s="1"/>
  <c r="K25" i="13" s="1"/>
  <c r="L25" i="13" s="1"/>
  <c r="M25" i="13" s="1"/>
  <c r="M16" i="32"/>
  <c r="G6" i="13" s="1"/>
  <c r="G8" i="13" s="1"/>
  <c r="L16" i="32"/>
  <c r="F6" i="13" s="1"/>
  <c r="F8" i="13" s="1"/>
  <c r="E21" i="3"/>
  <c r="E22" i="3" s="1"/>
  <c r="E18" i="3"/>
  <c r="I10" i="8"/>
  <c r="I26" i="8" s="1"/>
  <c r="I23" i="13"/>
  <c r="I4" i="6" s="1"/>
  <c r="I16" i="13"/>
  <c r="I10" i="7" s="1"/>
  <c r="I5" i="10" s="1"/>
  <c r="E41" i="7"/>
  <c r="E40" i="7"/>
  <c r="F21" i="7"/>
  <c r="F4" i="9"/>
  <c r="F8" i="10" s="1"/>
  <c r="J46" i="13"/>
  <c r="K46" i="13" s="1"/>
  <c r="L46" i="13" s="1"/>
  <c r="M46" i="13" s="1"/>
  <c r="J38" i="13"/>
  <c r="I17" i="13"/>
  <c r="I11" i="7" s="1"/>
  <c r="I35" i="7" s="1"/>
  <c r="C41" i="7"/>
  <c r="C40" i="7"/>
  <c r="G5" i="9"/>
  <c r="G9" i="10" s="1"/>
  <c r="G22" i="7"/>
  <c r="G25" i="8"/>
  <c r="G22" i="6"/>
  <c r="G28" i="6" s="1"/>
  <c r="G26" i="6"/>
  <c r="G27" i="6" s="1"/>
  <c r="G37" i="8" s="1"/>
  <c r="H17" i="6"/>
  <c r="H20" i="6" s="1"/>
  <c r="D41" i="7"/>
  <c r="D40" i="7"/>
  <c r="F3" i="5"/>
  <c r="O3" i="32"/>
  <c r="N15" i="32"/>
  <c r="N16" i="32" s="1"/>
  <c r="H6" i="13" s="1"/>
  <c r="J24" i="13"/>
  <c r="K24" i="13" s="1"/>
  <c r="L24" i="13" s="1"/>
  <c r="M24" i="13" s="1"/>
  <c r="I5" i="6"/>
  <c r="I21" i="6" s="1"/>
  <c r="H12" i="8"/>
  <c r="I54" i="13"/>
  <c r="G5" i="7"/>
  <c r="H11" i="13"/>
  <c r="I13" i="13"/>
  <c r="H7" i="7"/>
  <c r="H12" i="13"/>
  <c r="G6" i="7"/>
  <c r="J10" i="8"/>
  <c r="J26" i="8" s="1"/>
  <c r="H55" i="13"/>
  <c r="G13" i="8"/>
  <c r="F5" i="7"/>
  <c r="H50" i="13"/>
  <c r="G9" i="8"/>
  <c r="H56" i="13"/>
  <c r="G14" i="8"/>
  <c r="I47" i="13"/>
  <c r="H7" i="8"/>
  <c r="F6" i="7"/>
  <c r="H45" i="13"/>
  <c r="G5" i="8"/>
  <c r="H6" i="6" l="1"/>
  <c r="H32" i="6" s="1"/>
  <c r="I6" i="6"/>
  <c r="I32" i="6" s="1"/>
  <c r="J6" i="8"/>
  <c r="F7" i="13"/>
  <c r="G7" i="13"/>
  <c r="H25" i="8"/>
  <c r="F21" i="3"/>
  <c r="F22" i="3" s="1"/>
  <c r="J16" i="13"/>
  <c r="K16" i="13" s="1"/>
  <c r="L16" i="13" s="1"/>
  <c r="M16" i="13" s="1"/>
  <c r="J23" i="13"/>
  <c r="K23" i="13" s="1"/>
  <c r="L23" i="13" s="1"/>
  <c r="M23" i="13" s="1"/>
  <c r="H22" i="6"/>
  <c r="H28" i="6" s="1"/>
  <c r="H26" i="6"/>
  <c r="H27" i="6" s="1"/>
  <c r="H37" i="8" s="1"/>
  <c r="I17" i="6"/>
  <c r="I20" i="6" s="1"/>
  <c r="H5" i="9"/>
  <c r="H9" i="10" s="1"/>
  <c r="H22" i="7"/>
  <c r="K38" i="13"/>
  <c r="J17" i="13"/>
  <c r="J11" i="7" s="1"/>
  <c r="J35" i="7" s="1"/>
  <c r="H7" i="13"/>
  <c r="H8" i="13"/>
  <c r="G3" i="5"/>
  <c r="H32" i="13"/>
  <c r="P3" i="32"/>
  <c r="O15" i="32"/>
  <c r="O16" i="32" s="1"/>
  <c r="I6" i="13" s="1"/>
  <c r="J5" i="6"/>
  <c r="J21" i="6" s="1"/>
  <c r="I12" i="13"/>
  <c r="H6" i="7"/>
  <c r="J13" i="13"/>
  <c r="K13" i="13" s="1"/>
  <c r="L13" i="13" s="1"/>
  <c r="M13" i="13" s="1"/>
  <c r="I7" i="7"/>
  <c r="I11" i="13"/>
  <c r="H5" i="7"/>
  <c r="J54" i="13"/>
  <c r="K54" i="13" s="1"/>
  <c r="L54" i="13" s="1"/>
  <c r="M54" i="13" s="1"/>
  <c r="I12" i="8"/>
  <c r="K10" i="8"/>
  <c r="K26" i="8" s="1"/>
  <c r="J6" i="6"/>
  <c r="J32" i="6" s="1"/>
  <c r="K6" i="8"/>
  <c r="F18" i="13"/>
  <c r="G18" i="13" s="1"/>
  <c r="J47" i="13"/>
  <c r="K47" i="13" s="1"/>
  <c r="L47" i="13" s="1"/>
  <c r="M47" i="13" s="1"/>
  <c r="I7" i="8"/>
  <c r="H14" i="8"/>
  <c r="I56" i="13"/>
  <c r="I50" i="13"/>
  <c r="H9" i="8"/>
  <c r="I45" i="13"/>
  <c r="H5" i="8"/>
  <c r="H4" i="8"/>
  <c r="E4" i="11"/>
  <c r="L4" i="11" s="1"/>
  <c r="L5" i="11" s="1"/>
  <c r="L6" i="11" s="1"/>
  <c r="L7" i="11" s="1"/>
  <c r="I55" i="13"/>
  <c r="H13" i="8"/>
  <c r="J4" i="6" l="1"/>
  <c r="J10" i="7"/>
  <c r="J5" i="10" s="1"/>
  <c r="I5" i="9"/>
  <c r="I9" i="10" s="1"/>
  <c r="I22" i="7"/>
  <c r="L38" i="13"/>
  <c r="K17" i="13"/>
  <c r="K11" i="7" s="1"/>
  <c r="K35" i="7" s="1"/>
  <c r="I25" i="8"/>
  <c r="J17" i="6"/>
  <c r="J20" i="6" s="1"/>
  <c r="I22" i="6"/>
  <c r="I28" i="6" s="1"/>
  <c r="I26" i="6"/>
  <c r="I27" i="6" s="1"/>
  <c r="I37" i="8" s="1"/>
  <c r="I7" i="13"/>
  <c r="I8" i="13"/>
  <c r="I32" i="13"/>
  <c r="H3" i="5"/>
  <c r="Q3" i="32"/>
  <c r="P15" i="32"/>
  <c r="P16" i="32" s="1"/>
  <c r="J6" i="13" s="1"/>
  <c r="K10" i="7"/>
  <c r="K5" i="10" s="1"/>
  <c r="K5" i="6"/>
  <c r="K21" i="6" s="1"/>
  <c r="H18" i="13"/>
  <c r="G12" i="7"/>
  <c r="G38" i="7" s="1"/>
  <c r="J12" i="8"/>
  <c r="J11" i="13"/>
  <c r="K11" i="13" s="1"/>
  <c r="L11" i="13" s="1"/>
  <c r="M11" i="13" s="1"/>
  <c r="I5" i="7"/>
  <c r="J7" i="7"/>
  <c r="I6" i="7"/>
  <c r="J12" i="13"/>
  <c r="K12" i="13" s="1"/>
  <c r="L12" i="13" s="1"/>
  <c r="M12" i="13" s="1"/>
  <c r="K4" i="6"/>
  <c r="M10" i="8"/>
  <c r="M26" i="8" s="1"/>
  <c r="L10" i="8"/>
  <c r="L26" i="8" s="1"/>
  <c r="K6" i="6"/>
  <c r="K32" i="6" s="1"/>
  <c r="M6" i="8"/>
  <c r="L6" i="8"/>
  <c r="I4" i="8"/>
  <c r="F19" i="13"/>
  <c r="G19" i="13" s="1"/>
  <c r="I5" i="8"/>
  <c r="J45" i="13"/>
  <c r="K45" i="13" s="1"/>
  <c r="L45" i="13" s="1"/>
  <c r="M45" i="13" s="1"/>
  <c r="J50" i="13"/>
  <c r="K50" i="13" s="1"/>
  <c r="L50" i="13" s="1"/>
  <c r="M50" i="13" s="1"/>
  <c r="I9" i="8"/>
  <c r="I14" i="8"/>
  <c r="J56" i="13"/>
  <c r="K56" i="13" s="1"/>
  <c r="L56" i="13" s="1"/>
  <c r="M56" i="13" s="1"/>
  <c r="J7" i="8"/>
  <c r="J55" i="13"/>
  <c r="K55" i="13" s="1"/>
  <c r="L55" i="13" s="1"/>
  <c r="M55" i="13" s="1"/>
  <c r="I13" i="8"/>
  <c r="F10" i="7"/>
  <c r="F5" i="10" s="1"/>
  <c r="E12" i="11"/>
  <c r="F12" i="7"/>
  <c r="F38" i="7" s="1"/>
  <c r="J5" i="9" l="1"/>
  <c r="J9" i="10" s="1"/>
  <c r="J22" i="7"/>
  <c r="K17" i="6"/>
  <c r="K20" i="6" s="1"/>
  <c r="J22" i="6"/>
  <c r="J28" i="6" s="1"/>
  <c r="J26" i="6"/>
  <c r="J27" i="6" s="1"/>
  <c r="J37" i="8" s="1"/>
  <c r="J25" i="8"/>
  <c r="M38" i="13"/>
  <c r="M17" i="13" s="1"/>
  <c r="M11" i="7" s="1"/>
  <c r="M35" i="7" s="1"/>
  <c r="L17" i="13"/>
  <c r="L11" i="7" s="1"/>
  <c r="L35" i="7" s="1"/>
  <c r="J8" i="13"/>
  <c r="J7" i="13"/>
  <c r="I3" i="5"/>
  <c r="J32" i="13"/>
  <c r="R3" i="32"/>
  <c r="Q15" i="32"/>
  <c r="Q16" i="32" s="1"/>
  <c r="K6" i="13" s="1"/>
  <c r="L10" i="7"/>
  <c r="L5" i="10" s="1"/>
  <c r="M10" i="7"/>
  <c r="M5" i="10" s="1"/>
  <c r="M5" i="6"/>
  <c r="M21" i="6" s="1"/>
  <c r="L5" i="6"/>
  <c r="L21" i="6" s="1"/>
  <c r="G13" i="7"/>
  <c r="G39" i="7" s="1"/>
  <c r="G36" i="7" s="1"/>
  <c r="H19" i="13"/>
  <c r="J6" i="7"/>
  <c r="K12" i="8"/>
  <c r="K7" i="7"/>
  <c r="J5" i="7"/>
  <c r="I18" i="13"/>
  <c r="H12" i="7"/>
  <c r="H38" i="7" s="1"/>
  <c r="L4" i="6"/>
  <c r="M4" i="6"/>
  <c r="M6" i="6"/>
  <c r="M32" i="6" s="1"/>
  <c r="L6" i="6"/>
  <c r="L32" i="6" s="1"/>
  <c r="J9" i="8"/>
  <c r="M4" i="11"/>
  <c r="J14" i="8"/>
  <c r="J13" i="8"/>
  <c r="K7" i="8"/>
  <c r="J5" i="8"/>
  <c r="F13" i="7"/>
  <c r="F39" i="7" s="1"/>
  <c r="F36" i="7" s="1"/>
  <c r="J4" i="8"/>
  <c r="F14" i="9" l="1"/>
  <c r="F17" i="9" s="1"/>
  <c r="F15" i="5"/>
  <c r="K25" i="8"/>
  <c r="L17" i="6"/>
  <c r="L20" i="6" s="1"/>
  <c r="K22" i="6"/>
  <c r="K28" i="6" s="1"/>
  <c r="K26" i="6"/>
  <c r="K27" i="6" s="1"/>
  <c r="K37" i="8" s="1"/>
  <c r="G15" i="5"/>
  <c r="G14" i="9"/>
  <c r="G17" i="9" s="1"/>
  <c r="K5" i="9"/>
  <c r="K9" i="10" s="1"/>
  <c r="K22" i="7"/>
  <c r="K7" i="13"/>
  <c r="K8" i="13"/>
  <c r="K32" i="13"/>
  <c r="J3" i="5"/>
  <c r="S3" i="32"/>
  <c r="S15" i="32" s="1"/>
  <c r="R15" i="32"/>
  <c r="R16" i="32" s="1"/>
  <c r="L6" i="13" s="1"/>
  <c r="H13" i="7"/>
  <c r="H39" i="7" s="1"/>
  <c r="H36" i="7" s="1"/>
  <c r="I19" i="13"/>
  <c r="J18" i="13"/>
  <c r="K18" i="13" s="1"/>
  <c r="I12" i="7"/>
  <c r="I38" i="7" s="1"/>
  <c r="K5" i="7"/>
  <c r="M7" i="7"/>
  <c r="L7" i="7"/>
  <c r="M12" i="8"/>
  <c r="L12" i="8"/>
  <c r="K6" i="7"/>
  <c r="K5" i="8"/>
  <c r="M5" i="11"/>
  <c r="K14" i="8"/>
  <c r="L7" i="8"/>
  <c r="M7" i="8"/>
  <c r="K13" i="8"/>
  <c r="K9" i="8"/>
  <c r="K4" i="8"/>
  <c r="M22" i="7" l="1"/>
  <c r="M5" i="9"/>
  <c r="M9" i="10" s="1"/>
  <c r="L25" i="8"/>
  <c r="M25" i="8" s="1"/>
  <c r="L5" i="9"/>
  <c r="L9" i="10" s="1"/>
  <c r="L22" i="7"/>
  <c r="H15" i="5"/>
  <c r="H14" i="9"/>
  <c r="H17" i="9" s="1"/>
  <c r="L22" i="6"/>
  <c r="L28" i="6" s="1"/>
  <c r="M17" i="6"/>
  <c r="M20" i="6" s="1"/>
  <c r="L26" i="6"/>
  <c r="L27" i="6" s="1"/>
  <c r="L37" i="8" s="1"/>
  <c r="L7" i="13"/>
  <c r="L8" i="13"/>
  <c r="S16" i="32"/>
  <c r="M6" i="13" s="1"/>
  <c r="L32" i="13"/>
  <c r="K3" i="5"/>
  <c r="L18" i="13"/>
  <c r="M6" i="7"/>
  <c r="L6" i="7"/>
  <c r="J12" i="7"/>
  <c r="J38" i="7" s="1"/>
  <c r="M5" i="7"/>
  <c r="L5" i="7"/>
  <c r="J19" i="13"/>
  <c r="K19" i="13" s="1"/>
  <c r="I13" i="7"/>
  <c r="I39" i="7" s="1"/>
  <c r="I36" i="7" s="1"/>
  <c r="L5" i="8"/>
  <c r="M5" i="8"/>
  <c r="L4" i="8"/>
  <c r="M14" i="8"/>
  <c r="L14" i="8"/>
  <c r="L9" i="8"/>
  <c r="M9" i="8"/>
  <c r="M6" i="11"/>
  <c r="M7" i="11"/>
  <c r="M13" i="8"/>
  <c r="L13" i="8"/>
  <c r="I15" i="5" l="1"/>
  <c r="I14" i="9"/>
  <c r="I17" i="9" s="1"/>
  <c r="M26" i="6"/>
  <c r="M27" i="6" s="1"/>
  <c r="M37" i="8" s="1"/>
  <c r="M22" i="6"/>
  <c r="M28" i="6" s="1"/>
  <c r="M8" i="13"/>
  <c r="M7" i="13"/>
  <c r="M32" i="13"/>
  <c r="M3" i="5" s="1"/>
  <c r="L3" i="5"/>
  <c r="M18" i="13"/>
  <c r="L19" i="13"/>
  <c r="J13" i="7"/>
  <c r="J39" i="7" s="1"/>
  <c r="J36" i="7" s="1"/>
  <c r="K12" i="7"/>
  <c r="K38" i="7" s="1"/>
  <c r="M9" i="11"/>
  <c r="M11" i="11" s="1"/>
  <c r="E8" i="11" s="1"/>
  <c r="E13" i="11" s="1"/>
  <c r="M4" i="8"/>
  <c r="J15" i="5" l="1"/>
  <c r="J14" i="9"/>
  <c r="J17" i="9" s="1"/>
  <c r="M19" i="13"/>
  <c r="M12" i="7"/>
  <c r="M38" i="7" s="1"/>
  <c r="L12" i="7"/>
  <c r="L38" i="7" s="1"/>
  <c r="K13" i="7"/>
  <c r="K39" i="7" s="1"/>
  <c r="K36" i="7" s="1"/>
  <c r="K15" i="5" l="1"/>
  <c r="K14" i="9"/>
  <c r="K17" i="9" s="1"/>
  <c r="M13" i="7"/>
  <c r="M39" i="7" s="1"/>
  <c r="M36" i="7" s="1"/>
  <c r="L13" i="7"/>
  <c r="L39" i="7" s="1"/>
  <c r="L36" i="7" s="1"/>
  <c r="G10" i="13"/>
  <c r="G4" i="7" s="1"/>
  <c r="M10" i="13"/>
  <c r="M4" i="7" s="1"/>
  <c r="I10" i="13"/>
  <c r="H10" i="13"/>
  <c r="K10" i="13"/>
  <c r="L10" i="13"/>
  <c r="L4" i="7" s="1"/>
  <c r="J10" i="13"/>
  <c r="F10" i="13"/>
  <c r="M15" i="5" l="1"/>
  <c r="M14" i="9"/>
  <c r="M17" i="9" s="1"/>
  <c r="L15" i="5"/>
  <c r="L14" i="9"/>
  <c r="L17" i="9" s="1"/>
  <c r="I4" i="7"/>
  <c r="F4" i="7"/>
  <c r="F16" i="7" s="1"/>
  <c r="F17" i="7" s="1"/>
  <c r="J4" i="7"/>
  <c r="H4" i="7"/>
  <c r="K4" i="7"/>
  <c r="F27" i="8" l="1"/>
  <c r="F7" i="9" s="1"/>
  <c r="F11" i="10" s="1"/>
  <c r="F38" i="8"/>
  <c r="F8" i="9" s="1"/>
  <c r="F12" i="10" s="1"/>
  <c r="F34" i="8"/>
  <c r="F24" i="5" s="1"/>
  <c r="G16" i="7"/>
  <c r="F19" i="8"/>
  <c r="F21" i="5" s="1"/>
  <c r="F21" i="8"/>
  <c r="F22" i="5" s="1"/>
  <c r="F18" i="7"/>
  <c r="F19" i="7" s="1"/>
  <c r="F23" i="7" s="1"/>
  <c r="F17" i="8"/>
  <c r="F19" i="5" s="1"/>
  <c r="F3" i="10"/>
  <c r="F7" i="5"/>
  <c r="F20" i="8"/>
  <c r="F20" i="5" s="1"/>
  <c r="F33" i="8"/>
  <c r="F23" i="5" s="1"/>
  <c r="F39" i="8" l="1"/>
  <c r="F25" i="5"/>
  <c r="F4" i="10"/>
  <c r="F7" i="10" s="1"/>
  <c r="F9" i="5"/>
  <c r="F11" i="9"/>
  <c r="F12" i="9" s="1"/>
  <c r="F13" i="10" s="1"/>
  <c r="G27" i="8"/>
  <c r="G7" i="9" s="1"/>
  <c r="G11" i="10" s="1"/>
  <c r="G18" i="7"/>
  <c r="G17" i="8"/>
  <c r="G19" i="5" s="1"/>
  <c r="G19" i="8"/>
  <c r="G21" i="5" s="1"/>
  <c r="G3" i="10"/>
  <c r="G38" i="8"/>
  <c r="G17" i="7"/>
  <c r="G19" i="7" s="1"/>
  <c r="G34" i="8"/>
  <c r="G24" i="5" s="1"/>
  <c r="G21" i="8"/>
  <c r="G22" i="5" s="1"/>
  <c r="G7" i="5"/>
  <c r="G11" i="9" s="1"/>
  <c r="G12" i="9" s="1"/>
  <c r="G13" i="10" s="1"/>
  <c r="H16" i="7"/>
  <c r="F26" i="5"/>
  <c r="F6" i="9" s="1"/>
  <c r="F10" i="10" s="1"/>
  <c r="G4" i="10" l="1"/>
  <c r="G7" i="10" s="1"/>
  <c r="G33" i="8"/>
  <c r="G23" i="5" s="1"/>
  <c r="G20" i="8"/>
  <c r="G20" i="5" s="1"/>
  <c r="G8" i="9"/>
  <c r="G12" i="10" s="1"/>
  <c r="G39" i="8"/>
  <c r="I16" i="7"/>
  <c r="H34" i="8"/>
  <c r="H24" i="5" s="1"/>
  <c r="H17" i="8"/>
  <c r="H19" i="5" s="1"/>
  <c r="H7" i="5"/>
  <c r="H11" i="9" s="1"/>
  <c r="H12" i="9" s="1"/>
  <c r="H13" i="10" s="1"/>
  <c r="H38" i="8"/>
  <c r="H3" i="10"/>
  <c r="H21" i="8"/>
  <c r="H22" i="5" s="1"/>
  <c r="H18" i="7"/>
  <c r="H27" i="8"/>
  <c r="H19" i="8"/>
  <c r="H21" i="5" s="1"/>
  <c r="H17" i="7"/>
  <c r="F15" i="10"/>
  <c r="D4" i="12" s="1"/>
  <c r="G6" i="5"/>
  <c r="F24" i="8"/>
  <c r="F28" i="8" s="1"/>
  <c r="G25" i="5" l="1"/>
  <c r="G26" i="5" s="1"/>
  <c r="G6" i="9" s="1"/>
  <c r="G10" i="10" s="1"/>
  <c r="H19" i="7"/>
  <c r="H4" i="10" s="1"/>
  <c r="H7" i="10" s="1"/>
  <c r="G8" i="5"/>
  <c r="G9" i="5" s="1"/>
  <c r="H39" i="8"/>
  <c r="H8" i="9"/>
  <c r="H12" i="10" s="1"/>
  <c r="I17" i="8"/>
  <c r="I19" i="5" s="1"/>
  <c r="I18" i="7"/>
  <c r="J16" i="7"/>
  <c r="I34" i="8"/>
  <c r="I24" i="5" s="1"/>
  <c r="I38" i="8"/>
  <c r="I3" i="10"/>
  <c r="I27" i="8"/>
  <c r="I7" i="9" s="1"/>
  <c r="I11" i="10" s="1"/>
  <c r="I21" i="8"/>
  <c r="I22" i="5" s="1"/>
  <c r="I7" i="5"/>
  <c r="I11" i="9" s="1"/>
  <c r="I12" i="9" s="1"/>
  <c r="I13" i="10" s="1"/>
  <c r="I17" i="7"/>
  <c r="I19" i="8"/>
  <c r="I21" i="5" s="1"/>
  <c r="H7" i="9"/>
  <c r="H11" i="10" s="1"/>
  <c r="H20" i="8"/>
  <c r="H20" i="5" s="1"/>
  <c r="H33" i="8"/>
  <c r="H23" i="5" s="1"/>
  <c r="H6" i="5" l="1"/>
  <c r="G24" i="8"/>
  <c r="G28" i="8" s="1"/>
  <c r="H25" i="5"/>
  <c r="H26" i="5" s="1"/>
  <c r="H6" i="9" s="1"/>
  <c r="H10" i="10" s="1"/>
  <c r="J19" i="8"/>
  <c r="J21" i="5" s="1"/>
  <c r="J17" i="8"/>
  <c r="J19" i="5" s="1"/>
  <c r="K16" i="7"/>
  <c r="J27" i="8"/>
  <c r="J7" i="5"/>
  <c r="J11" i="9" s="1"/>
  <c r="J12" i="9" s="1"/>
  <c r="J13" i="10" s="1"/>
  <c r="J18" i="7"/>
  <c r="J21" i="8"/>
  <c r="J22" i="5" s="1"/>
  <c r="J17" i="7"/>
  <c r="J38" i="8"/>
  <c r="J34" i="8"/>
  <c r="J24" i="5" s="1"/>
  <c r="J3" i="10"/>
  <c r="I8" i="9"/>
  <c r="I12" i="10" s="1"/>
  <c r="I39" i="8"/>
  <c r="I19" i="7"/>
  <c r="I33" i="8"/>
  <c r="I23" i="5" s="1"/>
  <c r="I20" i="8"/>
  <c r="I20" i="5" s="1"/>
  <c r="G21" i="7"/>
  <c r="G23" i="7" s="1"/>
  <c r="G4" i="9"/>
  <c r="G8" i="10" s="1"/>
  <c r="G15" i="10" s="1"/>
  <c r="E4" i="12" s="1"/>
  <c r="J19" i="7" l="1"/>
  <c r="J4" i="10" s="1"/>
  <c r="J7" i="10" s="1"/>
  <c r="I25" i="5"/>
  <c r="I4" i="10"/>
  <c r="I7" i="10" s="1"/>
  <c r="K27" i="8"/>
  <c r="K7" i="9" s="1"/>
  <c r="K11" i="10" s="1"/>
  <c r="K18" i="7"/>
  <c r="K38" i="8"/>
  <c r="K17" i="8"/>
  <c r="K19" i="5" s="1"/>
  <c r="K19" i="8"/>
  <c r="K21" i="5" s="1"/>
  <c r="K34" i="8"/>
  <c r="K24" i="5" s="1"/>
  <c r="K21" i="8"/>
  <c r="K22" i="5" s="1"/>
  <c r="K17" i="7"/>
  <c r="L16" i="7"/>
  <c r="K3" i="10"/>
  <c r="K7" i="5"/>
  <c r="K11" i="9" s="1"/>
  <c r="K12" i="9" s="1"/>
  <c r="K13" i="10" s="1"/>
  <c r="J20" i="8"/>
  <c r="J20" i="5" s="1"/>
  <c r="J33" i="8"/>
  <c r="J23" i="5" s="1"/>
  <c r="J39" i="8"/>
  <c r="J8" i="9"/>
  <c r="J12" i="10" s="1"/>
  <c r="J7" i="9"/>
  <c r="J11" i="10" s="1"/>
  <c r="H8" i="5"/>
  <c r="J25" i="5" l="1"/>
  <c r="H21" i="7"/>
  <c r="H23" i="7" s="1"/>
  <c r="H4" i="9"/>
  <c r="H9" i="5"/>
  <c r="J26" i="5"/>
  <c r="J6" i="9" s="1"/>
  <c r="J10" i="10" s="1"/>
  <c r="I26" i="5"/>
  <c r="I6" i="9" s="1"/>
  <c r="I10" i="10" s="1"/>
  <c r="L38" i="8"/>
  <c r="L18" i="7"/>
  <c r="L34" i="8"/>
  <c r="L24" i="5" s="1"/>
  <c r="L27" i="8"/>
  <c r="L7" i="9" s="1"/>
  <c r="L11" i="10" s="1"/>
  <c r="L17" i="8"/>
  <c r="L19" i="5" s="1"/>
  <c r="M16" i="7"/>
  <c r="L7" i="5"/>
  <c r="L11" i="9" s="1"/>
  <c r="L12" i="9" s="1"/>
  <c r="L13" i="10" s="1"/>
  <c r="L19" i="8"/>
  <c r="L21" i="5" s="1"/>
  <c r="L17" i="7"/>
  <c r="L21" i="8"/>
  <c r="L22" i="5" s="1"/>
  <c r="L3" i="10"/>
  <c r="K19" i="7"/>
  <c r="K33" i="8"/>
  <c r="K23" i="5" s="1"/>
  <c r="K20" i="8"/>
  <c r="K20" i="5" s="1"/>
  <c r="K8" i="9"/>
  <c r="K12" i="10" s="1"/>
  <c r="K39" i="8"/>
  <c r="K25" i="5" l="1"/>
  <c r="K26" i="5" s="1"/>
  <c r="K6" i="9" s="1"/>
  <c r="K10" i="10" s="1"/>
  <c r="K4" i="10"/>
  <c r="K7" i="10" s="1"/>
  <c r="M18" i="7"/>
  <c r="M17" i="8"/>
  <c r="M19" i="5" s="1"/>
  <c r="M3" i="10"/>
  <c r="M21" i="8"/>
  <c r="M22" i="5" s="1"/>
  <c r="M27" i="8"/>
  <c r="M7" i="9" s="1"/>
  <c r="M11" i="10" s="1"/>
  <c r="M38" i="8"/>
  <c r="M19" i="8"/>
  <c r="M21" i="5" s="1"/>
  <c r="M34" i="8"/>
  <c r="M24" i="5" s="1"/>
  <c r="M17" i="7"/>
  <c r="M7" i="5"/>
  <c r="M11" i="9" s="1"/>
  <c r="M12" i="9" s="1"/>
  <c r="M13" i="10" s="1"/>
  <c r="L20" i="8"/>
  <c r="L20" i="5" s="1"/>
  <c r="L33" i="8"/>
  <c r="L23" i="5" s="1"/>
  <c r="L19" i="7"/>
  <c r="L39" i="8"/>
  <c r="L8" i="9"/>
  <c r="L12" i="10" s="1"/>
  <c r="I6" i="5"/>
  <c r="H24" i="8"/>
  <c r="H28" i="8" s="1"/>
  <c r="H8" i="10"/>
  <c r="H15" i="10" s="1"/>
  <c r="F4" i="12" s="1"/>
  <c r="L25" i="5" l="1"/>
  <c r="L26" i="5" s="1"/>
  <c r="L6" i="9" s="1"/>
  <c r="L10" i="10" s="1"/>
  <c r="I8" i="5"/>
  <c r="I9" i="5" s="1"/>
  <c r="L4" i="10"/>
  <c r="L7" i="10" s="1"/>
  <c r="M20" i="8"/>
  <c r="M20" i="5" s="1"/>
  <c r="M33" i="8"/>
  <c r="M23" i="5" s="1"/>
  <c r="M39" i="8"/>
  <c r="M8" i="9"/>
  <c r="M12" i="10" s="1"/>
  <c r="M19" i="7"/>
  <c r="M4" i="10" l="1"/>
  <c r="M7" i="10" s="1"/>
  <c r="M25" i="5"/>
  <c r="M26" i="5" s="1"/>
  <c r="M6" i="9" s="1"/>
  <c r="M10" i="10" s="1"/>
  <c r="I24" i="8"/>
  <c r="I28" i="8" s="1"/>
  <c r="J6" i="5"/>
  <c r="I4" i="9"/>
  <c r="I21" i="7"/>
  <c r="I23" i="7" s="1"/>
  <c r="I8" i="10" l="1"/>
  <c r="I15" i="10" s="1"/>
  <c r="G4" i="12" s="1"/>
  <c r="J8" i="5"/>
  <c r="J9" i="5" s="1"/>
  <c r="J24" i="8" l="1"/>
  <c r="J28" i="8" s="1"/>
  <c r="K6" i="5"/>
  <c r="J21" i="7"/>
  <c r="J23" i="7" s="1"/>
  <c r="J4" i="9"/>
  <c r="K8" i="5" l="1"/>
  <c r="K9" i="5" s="1"/>
  <c r="J8" i="10"/>
  <c r="J15" i="10" s="1"/>
  <c r="H4" i="12" s="1"/>
  <c r="L6" i="5" l="1"/>
  <c r="K24" i="8"/>
  <c r="K28" i="8" s="1"/>
  <c r="K4" i="9"/>
  <c r="K21" i="7"/>
  <c r="K23" i="7" s="1"/>
  <c r="K8" i="10" l="1"/>
  <c r="K15" i="10" s="1"/>
  <c r="I4" i="12" s="1"/>
  <c r="L8" i="5"/>
  <c r="L9" i="5" s="1"/>
  <c r="L4" i="9" l="1"/>
  <c r="L21" i="7"/>
  <c r="L23" i="7" s="1"/>
  <c r="M6" i="5"/>
  <c r="L24" i="8"/>
  <c r="L28" i="8" s="1"/>
  <c r="M8" i="5" l="1"/>
  <c r="M9" i="5"/>
  <c r="M24" i="8" s="1"/>
  <c r="M28" i="8" s="1"/>
  <c r="L8" i="10"/>
  <c r="L15" i="10" s="1"/>
  <c r="J4" i="12" s="1"/>
  <c r="M21" i="7" l="1"/>
  <c r="M23" i="7" s="1"/>
  <c r="G8" i="12" s="1"/>
  <c r="M4" i="9"/>
  <c r="M8" i="10" l="1"/>
  <c r="M15" i="10" s="1"/>
  <c r="K4" i="12" s="1"/>
  <c r="K5" i="12" s="1"/>
  <c r="C7" i="12" l="1"/>
  <c r="C8" i="12"/>
  <c r="C9" i="12" l="1"/>
  <c r="C15" i="12" s="1"/>
  <c r="C18" i="12" s="1"/>
  <c r="E28" i="12" s="1"/>
  <c r="G7" i="12"/>
  <c r="G9" i="12" s="1"/>
  <c r="G15" i="12" s="1"/>
  <c r="G18" i="12" s="1"/>
  <c r="F28" i="7"/>
  <c r="F31" i="7" s="1"/>
  <c r="G28" i="7"/>
  <c r="G31" i="7" s="1"/>
  <c r="H28" i="7"/>
  <c r="H31" i="7" s="1"/>
  <c r="I28" i="7"/>
  <c r="I31" i="7" s="1"/>
  <c r="J28" i="7"/>
  <c r="J31" i="7" s="1"/>
  <c r="K28" i="7"/>
  <c r="K31" i="7" s="1"/>
  <c r="L28" i="7"/>
  <c r="L31" i="7" s="1"/>
  <c r="M28" i="7"/>
  <c r="M31" i="7" s="1"/>
  <c r="J33" i="7" l="1"/>
  <c r="J34" i="7" s="1"/>
  <c r="G33" i="7"/>
  <c r="G34" i="7" s="1"/>
  <c r="M33" i="7"/>
  <c r="M34" i="7" s="1"/>
  <c r="L33" i="7"/>
  <c r="L34" i="7" s="1"/>
  <c r="K33" i="7"/>
  <c r="K34" i="7" s="1"/>
  <c r="I33" i="7"/>
  <c r="I34" i="7" s="1"/>
  <c r="H33" i="7"/>
  <c r="H34" i="7" s="1"/>
  <c r="F33" i="7"/>
  <c r="F34" i="7" s="1"/>
  <c r="I3" i="9" l="1"/>
  <c r="I9" i="9" s="1"/>
  <c r="I19" i="9" s="1"/>
  <c r="I22" i="9" s="1"/>
  <c r="I14" i="5"/>
  <c r="K14" i="5"/>
  <c r="K3" i="9"/>
  <c r="K9" i="9" s="1"/>
  <c r="K19" i="9" s="1"/>
  <c r="K22" i="9" s="1"/>
  <c r="L14" i="5"/>
  <c r="L3" i="9"/>
  <c r="L9" i="9" s="1"/>
  <c r="L19" i="9" s="1"/>
  <c r="L22" i="9" s="1"/>
  <c r="G14" i="5"/>
  <c r="G3" i="9"/>
  <c r="G9" i="9" s="1"/>
  <c r="G19" i="9" s="1"/>
  <c r="G22" i="9" s="1"/>
  <c r="H3" i="9"/>
  <c r="H9" i="9" s="1"/>
  <c r="H19" i="9" s="1"/>
  <c r="H22" i="9" s="1"/>
  <c r="H14" i="5"/>
  <c r="M3" i="9"/>
  <c r="M9" i="9" s="1"/>
  <c r="M19" i="9" s="1"/>
  <c r="M22" i="9" s="1"/>
  <c r="M14" i="5"/>
  <c r="F41" i="7"/>
  <c r="G41" i="7"/>
  <c r="J41" i="7"/>
  <c r="M41" i="7"/>
  <c r="K41" i="7"/>
  <c r="G40" i="7"/>
  <c r="H41" i="7"/>
  <c r="I41" i="7"/>
  <c r="L40" i="7"/>
  <c r="L41" i="7"/>
  <c r="F40" i="7"/>
  <c r="K40" i="7"/>
  <c r="F14" i="5"/>
  <c r="F17" i="5" s="1"/>
  <c r="H40" i="7"/>
  <c r="I40" i="7"/>
  <c r="F3" i="9"/>
  <c r="F9" i="9" s="1"/>
  <c r="F19" i="9" s="1"/>
  <c r="F22" i="9" s="1"/>
  <c r="F23" i="9" s="1"/>
  <c r="M40" i="7"/>
  <c r="J40" i="7"/>
  <c r="J3" i="9"/>
  <c r="J9" i="9" s="1"/>
  <c r="J19" i="9" s="1"/>
  <c r="J22" i="9" s="1"/>
  <c r="J14" i="5"/>
  <c r="G13" i="5" l="1"/>
  <c r="G17" i="5" s="1"/>
  <c r="F41" i="8"/>
  <c r="F18" i="8"/>
  <c r="F32" i="8"/>
  <c r="F35" i="8" s="1"/>
  <c r="F42" i="8" l="1"/>
  <c r="G21" i="9"/>
  <c r="G23" i="9" s="1"/>
  <c r="F31" i="6"/>
  <c r="F33" i="6" s="1"/>
  <c r="F22" i="8"/>
  <c r="F30" i="8" s="1"/>
  <c r="H13" i="5"/>
  <c r="H17" i="5" s="1"/>
  <c r="G41" i="8"/>
  <c r="I13" i="5" l="1"/>
  <c r="I17" i="5" s="1"/>
  <c r="H41" i="8"/>
  <c r="G18" i="8"/>
  <c r="G32" i="8"/>
  <c r="G35" i="8" s="1"/>
  <c r="G42" i="8" s="1"/>
  <c r="F44" i="8"/>
  <c r="G22" i="8" l="1"/>
  <c r="G30" i="8" s="1"/>
  <c r="G44" i="8" s="1"/>
  <c r="G31" i="6"/>
  <c r="G33" i="6" s="1"/>
  <c r="H21" i="9"/>
  <c r="H23" i="9" s="1"/>
  <c r="I41" i="8"/>
  <c r="J13" i="5"/>
  <c r="J17" i="5" s="1"/>
  <c r="H18" i="8" l="1"/>
  <c r="H32" i="8"/>
  <c r="H35" i="8" s="1"/>
  <c r="H42" i="8" s="1"/>
  <c r="K13" i="5"/>
  <c r="K17" i="5" s="1"/>
  <c r="J41" i="8"/>
  <c r="K41" i="8" l="1"/>
  <c r="L13" i="5"/>
  <c r="L17" i="5" s="1"/>
  <c r="H31" i="6"/>
  <c r="H33" i="6" s="1"/>
  <c r="I21" i="9"/>
  <c r="I23" i="9" s="1"/>
  <c r="H22" i="8"/>
  <c r="H30" i="8" s="1"/>
  <c r="H44" i="8" s="1"/>
  <c r="I18" i="8" l="1"/>
  <c r="I32" i="8"/>
  <c r="I35" i="8" s="1"/>
  <c r="I42" i="8" s="1"/>
  <c r="L41" i="8"/>
  <c r="M13" i="5"/>
  <c r="M17" i="5" s="1"/>
  <c r="M41" i="8" s="1"/>
  <c r="I31" i="6" l="1"/>
  <c r="I33" i="6" s="1"/>
  <c r="I22" i="8"/>
  <c r="I30" i="8" s="1"/>
  <c r="I44" i="8" s="1"/>
  <c r="J21" i="9"/>
  <c r="J23" i="9" s="1"/>
  <c r="J18" i="8" l="1"/>
  <c r="J32" i="8"/>
  <c r="J35" i="8" s="1"/>
  <c r="J42" i="8" s="1"/>
  <c r="J31" i="6" l="1"/>
  <c r="J33" i="6" s="1"/>
  <c r="J22" i="8"/>
  <c r="J30" i="8" s="1"/>
  <c r="J44" i="8" s="1"/>
  <c r="K21" i="9"/>
  <c r="K23" i="9" s="1"/>
  <c r="K18" i="8" l="1"/>
  <c r="K32" i="8"/>
  <c r="K35" i="8" s="1"/>
  <c r="K42" i="8" s="1"/>
  <c r="L21" i="9" l="1"/>
  <c r="L23" i="9" s="1"/>
  <c r="K31" i="6"/>
  <c r="K33" i="6" s="1"/>
  <c r="K22" i="8"/>
  <c r="K30" i="8" s="1"/>
  <c r="K44" i="8" s="1"/>
  <c r="L32" i="8" l="1"/>
  <c r="L35" i="8" s="1"/>
  <c r="L42" i="8" s="1"/>
  <c r="L18" i="8"/>
  <c r="L22" i="8" l="1"/>
  <c r="L30" i="8" s="1"/>
  <c r="M21" i="9"/>
  <c r="M23" i="9" s="1"/>
  <c r="L31" i="6"/>
  <c r="L33" i="6" s="1"/>
  <c r="L44" i="8"/>
  <c r="M32" i="8" l="1"/>
  <c r="M35" i="8" s="1"/>
  <c r="M42" i="8" s="1"/>
  <c r="M18" i="8"/>
  <c r="M31" i="6" l="1"/>
  <c r="M33" i="6" s="1"/>
  <c r="M22" i="8"/>
  <c r="M30" i="8" s="1"/>
  <c r="M44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Ascoli</author>
    <author>Alan</author>
  </authors>
  <commentList>
    <comment ref="C5" authorId="0" shapeId="0" xr:uid="{00000000-0006-0000-0000-000001000000}">
      <text>
        <r>
          <rPr>
            <sz val="8"/>
            <color indexed="81"/>
            <rFont val="Tahoma"/>
            <family val="2"/>
          </rPr>
          <t>Latest historical year</t>
        </r>
      </text>
    </comment>
    <comment ref="F10" authorId="1" shapeId="0" xr:uid="{1A2EB307-80CE-469E-A1AC-F2B792B3CADA}">
      <text>
        <r>
          <rPr>
            <b/>
            <sz val="9"/>
            <color indexed="81"/>
            <rFont val="Tahoma"/>
            <family val="2"/>
          </rPr>
          <t>Alan:</t>
        </r>
        <r>
          <rPr>
            <sz val="9"/>
            <color indexed="81"/>
            <rFont val="Tahoma"/>
            <family val="2"/>
          </rPr>
          <t xml:space="preserve">
accounts with NCI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</author>
  </authors>
  <commentList>
    <comment ref="F38" authorId="0" shapeId="0" xr:uid="{AF766A82-CF7F-4B6D-A9D5-3AB6197ADC65}">
      <text>
        <r>
          <rPr>
            <b/>
            <sz val="9"/>
            <color indexed="81"/>
            <rFont val="Tahoma"/>
            <family val="2"/>
          </rPr>
          <t>Alan:</t>
        </r>
        <r>
          <rPr>
            <sz val="9"/>
            <color indexed="81"/>
            <rFont val="Tahoma"/>
            <family val="2"/>
          </rPr>
          <t xml:space="preserve">
annual report, increasing by increments of 50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</author>
  </authors>
  <commentList>
    <comment ref="B18" authorId="0" shapeId="0" xr:uid="{188E0BB2-7617-468E-B6E5-512557C54417}">
      <text>
        <r>
          <rPr>
            <b/>
            <sz val="9"/>
            <color indexed="81"/>
            <rFont val="Tahoma"/>
            <charset val="1"/>
          </rPr>
          <t>Alan:</t>
        </r>
        <r>
          <rPr>
            <sz val="9"/>
            <color indexed="81"/>
            <rFont val="Tahoma"/>
            <charset val="1"/>
          </rPr>
          <t xml:space="preserve">
Includes financial Assets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</author>
  </authors>
  <commentList>
    <comment ref="E5" authorId="0" shapeId="0" xr:uid="{FAE1B335-0F3E-45C8-AA08-68794DC2377D}">
      <text>
        <r>
          <rPr>
            <b/>
            <sz val="9"/>
            <color indexed="81"/>
            <rFont val="Tahoma"/>
            <family val="2"/>
          </rPr>
          <t>Alan:</t>
        </r>
        <r>
          <rPr>
            <sz val="9"/>
            <color indexed="81"/>
            <rFont val="Tahoma"/>
            <family val="2"/>
          </rPr>
          <t xml:space="preserve">
Japanese 10-Y bonds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Chen</author>
  </authors>
  <commentList>
    <comment ref="G10" authorId="0" shapeId="0" xr:uid="{1083F158-90D8-4485-AB2E-5BC81D005AE5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Fixed for full year instead of mid-year convention</t>
        </r>
      </text>
    </comment>
  </commentList>
</comments>
</file>

<file path=xl/sharedStrings.xml><?xml version="1.0" encoding="utf-8"?>
<sst xmlns="http://schemas.openxmlformats.org/spreadsheetml/2006/main" count="432" uniqueCount="233">
  <si>
    <t>Hist.</t>
  </si>
  <si>
    <t>Proj.</t>
  </si>
  <si>
    <t>Analyst name</t>
  </si>
  <si>
    <t>Company name</t>
  </si>
  <si>
    <t>Latest BS date</t>
  </si>
  <si>
    <t>Currency</t>
  </si>
  <si>
    <t>Units</t>
  </si>
  <si>
    <t>Circular switch</t>
  </si>
  <si>
    <t>m</t>
  </si>
  <si>
    <t>Assumptions</t>
  </si>
  <si>
    <t>Net PP&amp;E</t>
  </si>
  <si>
    <t>Capital expenditure % of sales</t>
  </si>
  <si>
    <t>Beginning PP&amp;E</t>
  </si>
  <si>
    <t>Capex</t>
  </si>
  <si>
    <t>Depreciation</t>
  </si>
  <si>
    <t>Ending PP&amp;E</t>
  </si>
  <si>
    <t>Equity</t>
  </si>
  <si>
    <t>Share issuance/(repurchases)</t>
  </si>
  <si>
    <t>Beginning balance</t>
  </si>
  <si>
    <t>Net income</t>
  </si>
  <si>
    <t>Dividends paid</t>
  </si>
  <si>
    <t>Share issuance / (repurchase)</t>
  </si>
  <si>
    <t>Ending balance</t>
  </si>
  <si>
    <t>OWC</t>
  </si>
  <si>
    <t>Interest rate on revolver</t>
  </si>
  <si>
    <t>Interest rate on long-term debt</t>
  </si>
  <si>
    <t>Interest rate on cash</t>
  </si>
  <si>
    <t>Issuance of long-term debt</t>
  </si>
  <si>
    <t>Repayment of long-term debt</t>
  </si>
  <si>
    <t>Revolver</t>
  </si>
  <si>
    <t>Balance</t>
  </si>
  <si>
    <t>Interest rate</t>
  </si>
  <si>
    <t>Interest expense</t>
  </si>
  <si>
    <t>Long term debt</t>
  </si>
  <si>
    <t>Issuance</t>
  </si>
  <si>
    <t>Repayment</t>
  </si>
  <si>
    <t>Debt summary</t>
  </si>
  <si>
    <t>Total long term debt</t>
  </si>
  <si>
    <t xml:space="preserve"> Total debt</t>
  </si>
  <si>
    <t xml:space="preserve"> Total interest expense</t>
  </si>
  <si>
    <t>Interest income</t>
  </si>
  <si>
    <t>Income statement</t>
  </si>
  <si>
    <t>Revenue growth</t>
  </si>
  <si>
    <t>Cost of goods sold as % of sales</t>
  </si>
  <si>
    <t>SG&amp;A % of sales</t>
  </si>
  <si>
    <t>Amortization amount</t>
  </si>
  <si>
    <t>Non recurring items, amount</t>
  </si>
  <si>
    <t>Effective tax rate</t>
  </si>
  <si>
    <t>Basic WASO</t>
  </si>
  <si>
    <t>Diluted WASO</t>
  </si>
  <si>
    <t>Revenue</t>
  </si>
  <si>
    <t>SG&amp;A</t>
  </si>
  <si>
    <t>EBITDA</t>
  </si>
  <si>
    <t>Amortization</t>
  </si>
  <si>
    <t>EBIT</t>
  </si>
  <si>
    <t>Non-recurring items</t>
  </si>
  <si>
    <t>Other income (expense)</t>
  </si>
  <si>
    <t>Tax expense</t>
  </si>
  <si>
    <t xml:space="preserve"> Net income</t>
  </si>
  <si>
    <t>Dividends</t>
  </si>
  <si>
    <t>Shareholder information</t>
  </si>
  <si>
    <t>Basic earnings per share</t>
  </si>
  <si>
    <t>Diluted earnings per share</t>
  </si>
  <si>
    <t>Balance sheet</t>
  </si>
  <si>
    <t>Inventories % of COGS</t>
  </si>
  <si>
    <t>Other current assets % of sales</t>
  </si>
  <si>
    <t>Other long-term assets % of sales</t>
  </si>
  <si>
    <t>Other current liabilities % of sales</t>
  </si>
  <si>
    <t>Other long-term liabilities % of sales</t>
  </si>
  <si>
    <t>Accounts receivable</t>
  </si>
  <si>
    <t>Inventories</t>
  </si>
  <si>
    <t>Other current assets</t>
  </si>
  <si>
    <t xml:space="preserve"> Total current assets</t>
  </si>
  <si>
    <t>Property, plant &amp; equipment, net</t>
  </si>
  <si>
    <t xml:space="preserve"> Total non-current assets</t>
  </si>
  <si>
    <t>TOTAL ASSETS</t>
  </si>
  <si>
    <t>Revolver/Short term debt</t>
  </si>
  <si>
    <t>Other current liabilities</t>
  </si>
  <si>
    <t xml:space="preserve"> Total current liabilities</t>
  </si>
  <si>
    <t>Long-term debt, including current maturities</t>
  </si>
  <si>
    <t>Other long-term liabilities</t>
  </si>
  <si>
    <t xml:space="preserve"> Total non-current liabilities</t>
  </si>
  <si>
    <t>TOTAL LIABILITIES &amp; EQUITY</t>
  </si>
  <si>
    <t>Balance check</t>
  </si>
  <si>
    <t>Cash flow statement</t>
  </si>
  <si>
    <t>Pretax Income</t>
  </si>
  <si>
    <t>Alan Chen</t>
  </si>
  <si>
    <t>Free Cash Flows</t>
  </si>
  <si>
    <t>Sales</t>
  </si>
  <si>
    <t>NOPAT</t>
  </si>
  <si>
    <t>(inc) / dec in OWC</t>
  </si>
  <si>
    <t>(Capex)</t>
  </si>
  <si>
    <t>Free Cash Flow</t>
  </si>
  <si>
    <t>Effective Tax Rate</t>
  </si>
  <si>
    <t>Risk free rate</t>
  </si>
  <si>
    <t>Market risk Premium</t>
  </si>
  <si>
    <t>Beta</t>
  </si>
  <si>
    <t>Cost of Equity</t>
  </si>
  <si>
    <t>% Equity</t>
  </si>
  <si>
    <t>% Debt</t>
  </si>
  <si>
    <t>Post tax cost of debt</t>
  </si>
  <si>
    <t>WACC</t>
  </si>
  <si>
    <t>Long Term growth rate</t>
  </si>
  <si>
    <t>Mkt Cap</t>
  </si>
  <si>
    <t>Levered beta</t>
  </si>
  <si>
    <t>Gross debt</t>
  </si>
  <si>
    <t>Market cap</t>
  </si>
  <si>
    <t>Debt/Mcap</t>
  </si>
  <si>
    <t>Unlevered beta</t>
  </si>
  <si>
    <t>Comp</t>
  </si>
  <si>
    <t>Industry beta (average)</t>
  </si>
  <si>
    <t>Re-levered beta</t>
  </si>
  <si>
    <t>MTR</t>
  </si>
  <si>
    <t>Discount Model Year count</t>
  </si>
  <si>
    <t>Value Calculation</t>
  </si>
  <si>
    <t>Total PV of FCFs</t>
  </si>
  <si>
    <t>PV of TV</t>
  </si>
  <si>
    <t>EV</t>
  </si>
  <si>
    <t>Implied EBITDA multiple</t>
  </si>
  <si>
    <t>Cash &amp; Cash Equiv</t>
  </si>
  <si>
    <t>Debt &amp; Claims</t>
  </si>
  <si>
    <t>NCI</t>
  </si>
  <si>
    <t>Equity Value</t>
  </si>
  <si>
    <t>Diluted S/O</t>
  </si>
  <si>
    <t>Implied Share Price</t>
  </si>
  <si>
    <t>*</t>
  </si>
  <si>
    <t>Income Statement</t>
  </si>
  <si>
    <t>Variance</t>
  </si>
  <si>
    <t>Pessimistic Case</t>
  </si>
  <si>
    <t>Optimistic Case</t>
  </si>
  <si>
    <t>Dividend payout ratio</t>
  </si>
  <si>
    <t>Balance Sheet - Assets</t>
  </si>
  <si>
    <t>Balance Sheet - Liabilities</t>
  </si>
  <si>
    <t>Operating Case</t>
  </si>
  <si>
    <t>Street Case</t>
  </si>
  <si>
    <t>COGS % of sales</t>
  </si>
  <si>
    <t>Depreciation % of PP&amp;E</t>
  </si>
  <si>
    <t>Amortization $ Amt</t>
  </si>
  <si>
    <t>Non recurring income / (expense)</t>
  </si>
  <si>
    <t>Interest rate on Revolver</t>
  </si>
  <si>
    <t>Other Income / (expense)</t>
  </si>
  <si>
    <t>Dividend Payout Rate</t>
  </si>
  <si>
    <t>Operating Cash % of sales</t>
  </si>
  <si>
    <t>Calcs</t>
  </si>
  <si>
    <t>CapEx % of Sales</t>
  </si>
  <si>
    <t>Share issuance / (repurchases)</t>
  </si>
  <si>
    <t>Debt</t>
  </si>
  <si>
    <t>Other income (expense), amt</t>
  </si>
  <si>
    <t>Sensitivity analysis</t>
  </si>
  <si>
    <t>Discount rate variance</t>
  </si>
  <si>
    <t>Implied growth rate variance</t>
  </si>
  <si>
    <t>Revenue Growth</t>
  </si>
  <si>
    <t>Change in OWC</t>
  </si>
  <si>
    <t>Accounts payable/Accurals</t>
  </si>
  <si>
    <t>Accounts payable/Accural % of COGS</t>
  </si>
  <si>
    <t>Accounts receivable % of sales</t>
  </si>
  <si>
    <t>Accounts payable % of COGS</t>
  </si>
  <si>
    <t>Depreciation % of beginning PP&amp;E</t>
  </si>
  <si>
    <t>Net Income</t>
  </si>
  <si>
    <t>COGS</t>
  </si>
  <si>
    <t>Operating Cash</t>
  </si>
  <si>
    <t>Excess cash</t>
  </si>
  <si>
    <t>Intangible assets</t>
  </si>
  <si>
    <t>Investment in unconsolidated entities</t>
  </si>
  <si>
    <t>Investment in unconsolidated entities $ balance</t>
  </si>
  <si>
    <t>Other assets</t>
  </si>
  <si>
    <t>Accounts payables</t>
  </si>
  <si>
    <t>(inc) / dec in other long-term assets</t>
  </si>
  <si>
    <t>inc / (dec) other long-term liabilities</t>
  </si>
  <si>
    <t>Tax Rate</t>
  </si>
  <si>
    <t xml:space="preserve"> </t>
  </si>
  <si>
    <t>Current Stock Price</t>
  </si>
  <si>
    <t>Excess Cash</t>
  </si>
  <si>
    <t>TV multiple variance</t>
  </si>
  <si>
    <t>Multiples Calculation</t>
  </si>
  <si>
    <t>Multiple TV</t>
  </si>
  <si>
    <t>DCF tables</t>
  </si>
  <si>
    <t>Diluted s/o</t>
  </si>
  <si>
    <t>Cash</t>
  </si>
  <si>
    <t>Implied Price</t>
  </si>
  <si>
    <t>Difference</t>
  </si>
  <si>
    <t>Investments in unconsolidated entities</t>
  </si>
  <si>
    <t>Dividend payout rate</t>
  </si>
  <si>
    <t>Cost of debt</t>
  </si>
  <si>
    <t>Average</t>
  </si>
  <si>
    <t>Presentation slide</t>
  </si>
  <si>
    <t>Football field + SOTP Comps analysis</t>
  </si>
  <si>
    <t>Perpetuity</t>
  </si>
  <si>
    <t>DCF Analysis (Sensitivity tables)</t>
  </si>
  <si>
    <t>Projection ranges</t>
  </si>
  <si>
    <t>Terminal Mult</t>
  </si>
  <si>
    <t>Model Details</t>
  </si>
  <si>
    <t>Weighted Avg</t>
  </si>
  <si>
    <t>Fast Retailing</t>
  </si>
  <si>
    <t>yen</t>
  </si>
  <si>
    <t>Revenues</t>
  </si>
  <si>
    <t>UNIQLO Japan</t>
  </si>
  <si>
    <t>UNIQLO International</t>
  </si>
  <si>
    <t>GU</t>
  </si>
  <si>
    <t>Global Brands</t>
  </si>
  <si>
    <t>y/y</t>
  </si>
  <si>
    <t>Q125</t>
  </si>
  <si>
    <t>Q225</t>
  </si>
  <si>
    <t>Q325</t>
  </si>
  <si>
    <t>Total revenue</t>
  </si>
  <si>
    <t>Q425</t>
  </si>
  <si>
    <t/>
  </si>
  <si>
    <t xml:space="preserve">NO REVOLVER </t>
  </si>
  <si>
    <t>(inc) / dec in LT Assets</t>
  </si>
  <si>
    <t>dec / (inc) in LT liabilities</t>
  </si>
  <si>
    <t>Cash flow from operations</t>
  </si>
  <si>
    <t>Cash flow from Investing</t>
  </si>
  <si>
    <t>LT Debt issuance / (repurchase)</t>
  </si>
  <si>
    <t>Net changes in cash</t>
  </si>
  <si>
    <t>Beginning cash</t>
  </si>
  <si>
    <t>Changes</t>
  </si>
  <si>
    <t>Ending cash</t>
  </si>
  <si>
    <t>Street case</t>
  </si>
  <si>
    <t>Bull case</t>
  </si>
  <si>
    <t>Bear case</t>
  </si>
  <si>
    <t>COMPANY SEGMENT</t>
  </si>
  <si>
    <t>LTM EBITDA</t>
  </si>
  <si>
    <t>Multiple</t>
  </si>
  <si>
    <t>SOTP TABLE</t>
  </si>
  <si>
    <t>Other brands</t>
  </si>
  <si>
    <t>% of rev</t>
  </si>
  <si>
    <t>% of total sales</t>
  </si>
  <si>
    <t>Segment D&amp;A</t>
  </si>
  <si>
    <t>TOTAL EV</t>
  </si>
  <si>
    <t>Price</t>
  </si>
  <si>
    <t>SOTP</t>
  </si>
  <si>
    <t>LTGR</t>
  </si>
  <si>
    <t>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</si>
</sst>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5" formatCode="&quot;$&quot;#,##0_);\(&quot;$&quot;#,##0\)"/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(&quot;£&quot;* #,##0_);_(&quot;£&quot;* \(#,##0\);_(&quot;£&quot;* &quot;-&quot;_);_(@_)"/>
    <numFmt numFmtId="165" formatCode="_(&quot;£&quot;* #,##0.00_);_(&quot;£&quot;* \(#,##0.00\);_(&quot;£&quot;* &quot;-&quot;??_);_(@_)"/>
    <numFmt numFmtId="166" formatCode="#,##0.0_);\(#,##0.0\);0.0_);@_)"/>
    <numFmt numFmtId="167" formatCode="#,##0.0_);\(#,##0.0\)"/>
    <numFmt numFmtId="168" formatCode="dd\-mmm\-yy_)"/>
    <numFmt numFmtId="169" formatCode="0.0%_);\(0.0%\)"/>
    <numFmt numFmtId="170" formatCode="#,##0.00_)\x;\(#,##0.00\)\x"/>
    <numFmt numFmtId="171" formatCode="&quot;Yes&quot;;;&quot;No&quot;"/>
    <numFmt numFmtId="172" formatCode="0.00%_);\(0.00%\)"/>
    <numFmt numFmtId="173" formatCode="0.0%"/>
    <numFmt numFmtId="174" formatCode="#,##0.00_);\(#,##0.00\);0.00_);@_)"/>
    <numFmt numFmtId="175" formatCode="yyyy"/>
    <numFmt numFmtId="176" formatCode="#,##0.0_)\x;\(#,##0.0\)\x"/>
    <numFmt numFmtId="177" formatCode="0.0_);\(0.0\)"/>
    <numFmt numFmtId="178" formatCode="0_);\(0\)"/>
    <numFmt numFmtId="179" formatCode="#,##0.0"/>
    <numFmt numFmtId="180" formatCode="&quot;$&quot;#,##0.0_);\(&quot;$&quot;#,##0.0\)"/>
    <numFmt numFmtId="181" formatCode="#,##0.0_)"/>
    <numFmt numFmtId="182" formatCode="&quot;$&quot;#,##0.0"/>
    <numFmt numFmtId="183" formatCode="&quot;$&quot;#,##0.00"/>
    <numFmt numFmtId="184" formatCode="[$¥-411]#,##0.00;\-[$¥-411]#,##0.00"/>
    <numFmt numFmtId="185" formatCode="0.000%"/>
    <numFmt numFmtId="188" formatCode="0.0"/>
    <numFmt numFmtId="189" formatCode="_-* #,##0_-;\-* #,##0_-;_-* &quot;-&quot;_-;_-@_-"/>
    <numFmt numFmtId="191" formatCode="[$¥-411]#,##0.0;\-[$¥-411]#,##0.0"/>
  </numFmts>
  <fonts count="83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24"/>
      <color rgb="FF006100"/>
      <name val="Arial"/>
      <family val="2"/>
    </font>
    <font>
      <sz val="24"/>
      <color rgb="FF9C0006"/>
      <name val="Arial"/>
      <family val="2"/>
    </font>
    <font>
      <sz val="24"/>
      <color rgb="FF9C6500"/>
      <name val="Arial"/>
      <family val="2"/>
    </font>
    <font>
      <b/>
      <sz val="24"/>
      <color rgb="FF3F3F3F"/>
      <name val="Arial"/>
      <family val="2"/>
    </font>
    <font>
      <b/>
      <sz val="24"/>
      <color rgb="FFFA7D00"/>
      <name val="Arial"/>
      <family val="2"/>
    </font>
    <font>
      <sz val="24"/>
      <color rgb="FFFA7D00"/>
      <name val="Arial"/>
      <family val="2"/>
    </font>
    <font>
      <b/>
      <sz val="24"/>
      <color theme="0"/>
      <name val="Arial"/>
      <family val="2"/>
    </font>
    <font>
      <sz val="24"/>
      <color rgb="FFFF0000"/>
      <name val="Arial"/>
      <family val="2"/>
    </font>
    <font>
      <i/>
      <sz val="24"/>
      <color rgb="FF7F7F7F"/>
      <name val="Arial"/>
      <family val="2"/>
    </font>
    <font>
      <b/>
      <sz val="24"/>
      <color theme="1"/>
      <name val="Arial"/>
      <family val="2"/>
    </font>
    <font>
      <sz val="24"/>
      <color theme="0"/>
      <name val="Arial"/>
      <family val="2"/>
    </font>
    <font>
      <sz val="24"/>
      <color theme="1"/>
      <name val="Arial"/>
      <family val="2"/>
    </font>
    <font>
      <u/>
      <sz val="10"/>
      <color theme="11"/>
      <name val="Arial"/>
      <family val="2"/>
    </font>
    <font>
      <b/>
      <sz val="14"/>
      <color theme="0"/>
      <name val="Calibri"/>
      <family val="2"/>
    </font>
    <font>
      <b/>
      <sz val="11"/>
      <color theme="2"/>
      <name val="Calibri"/>
      <family val="2"/>
      <scheme val="minor"/>
    </font>
    <font>
      <sz val="10"/>
      <color rgb="FF0000FF"/>
      <name val="Arial"/>
      <family val="2"/>
    </font>
    <font>
      <b/>
      <sz val="14"/>
      <color rgb="FF0000FF"/>
      <name val="Calibri"/>
      <family val="2"/>
    </font>
    <font>
      <i/>
      <sz val="10"/>
      <name val="Arial"/>
      <family val="2"/>
    </font>
    <font>
      <sz val="7"/>
      <color indexed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rgb="FF027D07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indexed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27D07"/>
      <name val="Calibri"/>
      <family val="2"/>
      <scheme val="minor"/>
    </font>
    <font>
      <sz val="11"/>
      <color rgb="FF4472C4"/>
      <name val="Calibri"/>
      <family val="2"/>
      <scheme val="minor"/>
    </font>
    <font>
      <i/>
      <sz val="11"/>
      <color indexed="10"/>
      <name val="Calibri"/>
      <family val="2"/>
      <scheme val="minor"/>
    </font>
    <font>
      <i/>
      <sz val="10"/>
      <color theme="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sz val="11"/>
      <color rgb="FF0500FF"/>
      <name val="Calibri"/>
      <family val="2"/>
      <scheme val="minor"/>
    </font>
    <font>
      <i/>
      <sz val="10"/>
      <color rgb="FF0000FF"/>
      <name val="Arial"/>
      <family val="2"/>
    </font>
    <font>
      <i/>
      <sz val="10"/>
      <color rgb="FF0500FF"/>
      <name val="Arial"/>
      <family val="2"/>
    </font>
    <font>
      <b/>
      <i/>
      <sz val="11"/>
      <color theme="0"/>
      <name val="Calibri"/>
      <family val="2"/>
      <scheme val="minor"/>
    </font>
    <font>
      <b/>
      <i/>
      <sz val="10"/>
      <color theme="0"/>
      <name val="Arial"/>
      <family val="2"/>
    </font>
    <font>
      <sz val="10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b/>
      <sz val="11"/>
      <color rgb="FF0000FF"/>
      <name val="Calibri"/>
      <family val="2"/>
      <scheme val="minor"/>
    </font>
    <font>
      <b/>
      <sz val="15"/>
      <color rgb="FF027D07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2" tint="0.3999755851924192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i/>
      <sz val="11"/>
      <color rgb="FFEA4335"/>
      <name val="Calibri"/>
      <family val="2"/>
      <scheme val="minor"/>
    </font>
    <font>
      <b/>
      <sz val="15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ＭＳ Ｐゴシック"/>
      <family val="3"/>
      <charset val="128"/>
    </font>
    <font>
      <sz val="12"/>
      <name val="Osaka"/>
      <family val="3"/>
      <charset val="128"/>
    </font>
    <font>
      <sz val="10"/>
      <color indexed="8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sz val="11"/>
      <color theme="1"/>
      <name val="Arial"/>
      <family val="2"/>
    </font>
    <font>
      <sz val="10"/>
      <name val="Meiryo UI"/>
      <family val="3"/>
      <charset val="128"/>
    </font>
    <font>
      <sz val="10"/>
      <color indexed="8"/>
      <name val="Meiryo UI"/>
      <family val="3"/>
      <charset val="128"/>
    </font>
    <font>
      <b/>
      <i/>
      <sz val="11"/>
      <color rgb="FF34A853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7">
    <xf numFmtId="167" fontId="0" fillId="0" borderId="0"/>
    <xf numFmtId="15" fontId="6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167" fontId="29" fillId="33" borderId="1" applyNumberFormat="0" applyAlignment="0" applyProtection="0"/>
    <xf numFmtId="169" fontId="6" fillId="0" borderId="0" applyFont="0" applyFill="0" applyBorder="0" applyAlignment="0" applyProtection="0"/>
    <xf numFmtId="167" fontId="29" fillId="0" borderId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5" applyNumberFormat="0" applyAlignment="0" applyProtection="0"/>
    <xf numFmtId="0" fontId="18" fillId="5" borderId="6" applyNumberFormat="0" applyAlignment="0" applyProtection="0"/>
    <xf numFmtId="0" fontId="19" fillId="0" borderId="7" applyNumberFormat="0" applyFill="0" applyAlignment="0" applyProtection="0"/>
    <xf numFmtId="0" fontId="20" fillId="6" borderId="8" applyNumberFormat="0" applyAlignment="0" applyProtection="0"/>
    <xf numFmtId="0" fontId="21" fillId="0" borderId="0" applyNumberFormat="0" applyFill="0" applyBorder="0" applyAlignment="0" applyProtection="0"/>
    <xf numFmtId="0" fontId="6" fillId="7" borderId="9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24" fillId="31" borderId="0" applyNumberFormat="0" applyBorder="0" applyAlignment="0" applyProtection="0"/>
    <xf numFmtId="166" fontId="26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7" fontId="30" fillId="0" borderId="11" applyNumberFormat="0" applyFill="0" applyAlignment="0" applyProtection="0"/>
    <xf numFmtId="167" fontId="27" fillId="32" borderId="0" applyNumberFormat="0" applyBorder="0" applyProtection="0">
      <alignment horizontal="left" vertical="center"/>
    </xf>
    <xf numFmtId="167" fontId="28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69" fontId="29" fillId="33" borderId="1" applyAlignment="0" applyProtection="0"/>
    <xf numFmtId="166" fontId="7" fillId="0" borderId="0" applyNumberFormat="0" applyFill="0" applyBorder="0" applyAlignment="0" applyProtection="0"/>
    <xf numFmtId="166" fontId="7" fillId="0" borderId="0" applyNumberFormat="0" applyFill="0" applyBorder="0" applyAlignment="0" applyProtection="0"/>
    <xf numFmtId="166" fontId="6" fillId="0" borderId="0">
      <protection locked="0"/>
    </xf>
    <xf numFmtId="166" fontId="32" fillId="0" borderId="0" applyNumberFormat="0" applyFill="0" applyBorder="0" applyProtection="0">
      <alignment vertical="center"/>
      <protection hidden="1"/>
    </xf>
    <xf numFmtId="0" fontId="33" fillId="0" borderId="0"/>
    <xf numFmtId="9" fontId="33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5" fillId="0" borderId="0"/>
    <xf numFmtId="167" fontId="43" fillId="32" borderId="0" applyNumberFormat="0" applyBorder="0" applyAlignment="0" applyProtection="0">
      <alignment horizontal="left" vertical="center"/>
    </xf>
    <xf numFmtId="0" fontId="64" fillId="41" borderId="0"/>
    <xf numFmtId="0" fontId="65" fillId="41" borderId="22">
      <alignment horizontal="right"/>
    </xf>
    <xf numFmtId="0" fontId="75" fillId="0" borderId="0"/>
    <xf numFmtId="9" fontId="75" fillId="0" borderId="0" applyFont="0" applyFill="0" applyBorder="0" applyAlignment="0" applyProtection="0"/>
    <xf numFmtId="189" fontId="78" fillId="0" borderId="0" applyFont="0" applyFill="0" applyBorder="0" applyAlignment="0" applyProtection="0"/>
    <xf numFmtId="38" fontId="78" fillId="0" borderId="0" applyFont="0" applyFill="0" applyBorder="0" applyAlignment="0" applyProtection="0">
      <alignment vertical="center"/>
    </xf>
    <xf numFmtId="0" fontId="78" fillId="0" borderId="0">
      <alignment vertical="center"/>
    </xf>
    <xf numFmtId="0" fontId="77" fillId="0" borderId="0">
      <alignment vertical="center"/>
    </xf>
    <xf numFmtId="0" fontId="75" fillId="0" borderId="0"/>
    <xf numFmtId="0" fontId="76" fillId="0" borderId="0"/>
    <xf numFmtId="0" fontId="79" fillId="0" borderId="0"/>
  </cellStyleXfs>
  <cellXfs count="374">
    <xf numFmtId="167" fontId="0" fillId="0" borderId="0" xfId="0"/>
    <xf numFmtId="166" fontId="44" fillId="0" borderId="0" xfId="52" applyNumberFormat="1" applyFont="1" applyFill="1" applyBorder="1" applyAlignment="1">
      <alignment horizontal="center"/>
    </xf>
    <xf numFmtId="167" fontId="44" fillId="0" borderId="0" xfId="0" applyFont="1"/>
    <xf numFmtId="166" fontId="44" fillId="0" borderId="0" xfId="52" applyNumberFormat="1" applyFont="1" applyFill="1" applyBorder="1"/>
    <xf numFmtId="167" fontId="40" fillId="0" borderId="0" xfId="0" applyFont="1"/>
    <xf numFmtId="169" fontId="40" fillId="0" borderId="0" xfId="4" applyFont="1"/>
    <xf numFmtId="167" fontId="45" fillId="0" borderId="0" xfId="0" applyFont="1"/>
    <xf numFmtId="167" fontId="42" fillId="0" borderId="0" xfId="0" applyFont="1"/>
    <xf numFmtId="173" fontId="40" fillId="0" borderId="0" xfId="0" applyNumberFormat="1" applyFont="1"/>
    <xf numFmtId="166" fontId="39" fillId="0" borderId="0" xfId="57" applyFont="1" applyFill="1"/>
    <xf numFmtId="166" fontId="39" fillId="0" borderId="0" xfId="57" applyFont="1"/>
    <xf numFmtId="167" fontId="46" fillId="0" borderId="0" xfId="0" applyFont="1"/>
    <xf numFmtId="173" fontId="46" fillId="0" borderId="0" xfId="0" applyNumberFormat="1" applyFont="1"/>
    <xf numFmtId="167" fontId="39" fillId="0" borderId="0" xfId="0" applyFont="1"/>
    <xf numFmtId="172" fontId="40" fillId="0" borderId="0" xfId="0" applyNumberFormat="1" applyFont="1"/>
    <xf numFmtId="174" fontId="40" fillId="0" borderId="0" xfId="0" applyNumberFormat="1" applyFont="1"/>
    <xf numFmtId="167" fontId="40" fillId="35" borderId="0" xfId="0" applyFont="1" applyFill="1"/>
    <xf numFmtId="166" fontId="34" fillId="35" borderId="0" xfId="54" applyNumberFormat="1" applyFont="1" applyFill="1"/>
    <xf numFmtId="167" fontId="46" fillId="0" borderId="12" xfId="0" applyFont="1" applyBorder="1"/>
    <xf numFmtId="167" fontId="46" fillId="0" borderId="13" xfId="0" applyFont="1" applyBorder="1"/>
    <xf numFmtId="167" fontId="46" fillId="0" borderId="14" xfId="0" applyFont="1" applyBorder="1"/>
    <xf numFmtId="167" fontId="40" fillId="34" borderId="0" xfId="0" applyFont="1" applyFill="1"/>
    <xf numFmtId="166" fontId="34" fillId="34" borderId="0" xfId="54" applyNumberFormat="1" applyFont="1" applyFill="1"/>
    <xf numFmtId="167" fontId="40" fillId="0" borderId="13" xfId="0" applyFont="1" applyBorder="1"/>
    <xf numFmtId="166" fontId="39" fillId="0" borderId="18" xfId="57" applyFont="1" applyBorder="1"/>
    <xf numFmtId="169" fontId="40" fillId="0" borderId="18" xfId="4" applyFont="1" applyBorder="1"/>
    <xf numFmtId="167" fontId="46" fillId="0" borderId="18" xfId="0" applyFont="1" applyBorder="1"/>
    <xf numFmtId="166" fontId="39" fillId="0" borderId="18" xfId="58" applyFont="1" applyBorder="1"/>
    <xf numFmtId="173" fontId="40" fillId="0" borderId="18" xfId="0" applyNumberFormat="1" applyFont="1" applyBorder="1"/>
    <xf numFmtId="167" fontId="40" fillId="0" borderId="18" xfId="0" applyFont="1" applyBorder="1"/>
    <xf numFmtId="169" fontId="40" fillId="0" borderId="18" xfId="4" applyFont="1" applyFill="1" applyBorder="1"/>
    <xf numFmtId="173" fontId="31" fillId="0" borderId="0" xfId="0" applyNumberFormat="1" applyFont="1"/>
    <xf numFmtId="167" fontId="41" fillId="0" borderId="0" xfId="0" applyFont="1"/>
    <xf numFmtId="169" fontId="41" fillId="0" borderId="0" xfId="4" applyFont="1"/>
    <xf numFmtId="169" fontId="41" fillId="0" borderId="18" xfId="4" applyFont="1" applyBorder="1"/>
    <xf numFmtId="167" fontId="48" fillId="0" borderId="0" xfId="0" applyFont="1"/>
    <xf numFmtId="167" fontId="46" fillId="0" borderId="15" xfId="0" applyFont="1" applyBorder="1"/>
    <xf numFmtId="167" fontId="46" fillId="0" borderId="16" xfId="0" applyFont="1" applyBorder="1"/>
    <xf numFmtId="173" fontId="40" fillId="0" borderId="16" xfId="0" applyNumberFormat="1" applyFont="1" applyBorder="1"/>
    <xf numFmtId="167" fontId="40" fillId="0" borderId="16" xfId="0" applyFont="1" applyBorder="1"/>
    <xf numFmtId="174" fontId="40" fillId="0" borderId="15" xfId="0" applyNumberFormat="1" applyFont="1" applyBorder="1"/>
    <xf numFmtId="167" fontId="41" fillId="0" borderId="18" xfId="0" applyFont="1" applyBorder="1"/>
    <xf numFmtId="173" fontId="31" fillId="0" borderId="18" xfId="0" applyNumberFormat="1" applyFont="1" applyBorder="1"/>
    <xf numFmtId="166" fontId="35" fillId="0" borderId="0" xfId="52" applyNumberFormat="1" applyFont="1" applyFill="1" applyBorder="1" applyAlignment="1">
      <alignment horizontal="right"/>
    </xf>
    <xf numFmtId="167" fontId="36" fillId="34" borderId="0" xfId="0" applyFont="1" applyFill="1"/>
    <xf numFmtId="173" fontId="41" fillId="0" borderId="0" xfId="0" applyNumberFormat="1" applyFont="1"/>
    <xf numFmtId="173" fontId="41" fillId="0" borderId="18" xfId="0" applyNumberFormat="1" applyFont="1" applyBorder="1"/>
    <xf numFmtId="166" fontId="39" fillId="0" borderId="18" xfId="57" applyFont="1" applyFill="1" applyBorder="1"/>
    <xf numFmtId="167" fontId="46" fillId="0" borderId="0" xfId="0" applyFont="1" applyAlignment="1">
      <alignment horizontal="right"/>
    </xf>
    <xf numFmtId="10" fontId="40" fillId="0" borderId="0" xfId="0" applyNumberFormat="1" applyFont="1"/>
    <xf numFmtId="172" fontId="40" fillId="0" borderId="0" xfId="4" applyNumberFormat="1" applyFont="1"/>
    <xf numFmtId="167" fontId="49" fillId="0" borderId="0" xfId="0" applyFont="1"/>
    <xf numFmtId="37" fontId="44" fillId="0" borderId="0" xfId="0" applyNumberFormat="1" applyFont="1" applyAlignment="1">
      <alignment horizontal="center"/>
    </xf>
    <xf numFmtId="167" fontId="38" fillId="33" borderId="1" xfId="3" applyFont="1" applyAlignment="1">
      <alignment horizontal="center"/>
    </xf>
    <xf numFmtId="168" fontId="38" fillId="33" borderId="1" xfId="3" applyNumberFormat="1" applyFont="1" applyAlignment="1">
      <alignment horizontal="center"/>
    </xf>
    <xf numFmtId="166" fontId="35" fillId="0" borderId="0" xfId="52" applyNumberFormat="1" applyFont="1" applyFill="1" applyBorder="1" applyAlignment="1">
      <alignment horizontal="center"/>
    </xf>
    <xf numFmtId="167" fontId="50" fillId="34" borderId="0" xfId="0" applyFont="1" applyFill="1"/>
    <xf numFmtId="175" fontId="34" fillId="34" borderId="0" xfId="0" applyNumberFormat="1" applyFont="1" applyFill="1"/>
    <xf numFmtId="169" fontId="47" fillId="0" borderId="0" xfId="57" applyNumberFormat="1" applyFont="1" applyFill="1" applyBorder="1"/>
    <xf numFmtId="169" fontId="41" fillId="0" borderId="0" xfId="57" applyNumberFormat="1" applyFont="1" applyFill="1" applyBorder="1"/>
    <xf numFmtId="166" fontId="41" fillId="0" borderId="0" xfId="0" applyNumberFormat="1" applyFont="1"/>
    <xf numFmtId="167" fontId="40" fillId="0" borderId="17" xfId="0" applyFont="1" applyBorder="1"/>
    <xf numFmtId="169" fontId="47" fillId="0" borderId="18" xfId="57" applyNumberFormat="1" applyFont="1" applyFill="1" applyBorder="1"/>
    <xf numFmtId="169" fontId="41" fillId="0" borderId="18" xfId="57" applyNumberFormat="1" applyFont="1" applyFill="1" applyBorder="1"/>
    <xf numFmtId="166" fontId="41" fillId="0" borderId="18" xfId="0" applyNumberFormat="1" applyFont="1" applyBorder="1"/>
    <xf numFmtId="167" fontId="40" fillId="0" borderId="18" xfId="0" applyFont="1" applyBorder="1" applyAlignment="1">
      <alignment horizontal="right"/>
    </xf>
    <xf numFmtId="167" fontId="36" fillId="35" borderId="0" xfId="0" applyFont="1" applyFill="1"/>
    <xf numFmtId="167" fontId="34" fillId="35" borderId="0" xfId="53" applyFont="1" applyFill="1">
      <alignment horizontal="left" vertical="center"/>
    </xf>
    <xf numFmtId="167" fontId="40" fillId="0" borderId="15" xfId="0" applyFont="1" applyBorder="1"/>
    <xf numFmtId="167" fontId="40" fillId="36" borderId="0" xfId="0" applyFont="1" applyFill="1"/>
    <xf numFmtId="167" fontId="40" fillId="37" borderId="15" xfId="0" applyFont="1" applyFill="1" applyBorder="1"/>
    <xf numFmtId="167" fontId="40" fillId="37" borderId="0" xfId="0" applyFont="1" applyFill="1"/>
    <xf numFmtId="167" fontId="40" fillId="38" borderId="15" xfId="0" applyFont="1" applyFill="1" applyBorder="1"/>
    <xf numFmtId="167" fontId="40" fillId="38" borderId="0" xfId="0" applyFont="1" applyFill="1"/>
    <xf numFmtId="167" fontId="40" fillId="36" borderId="18" xfId="0" applyFont="1" applyFill="1" applyBorder="1"/>
    <xf numFmtId="167" fontId="40" fillId="37" borderId="16" xfId="0" applyFont="1" applyFill="1" applyBorder="1"/>
    <xf numFmtId="167" fontId="40" fillId="37" borderId="18" xfId="0" applyFont="1" applyFill="1" applyBorder="1"/>
    <xf numFmtId="167" fontId="40" fillId="38" borderId="16" xfId="0" applyFont="1" applyFill="1" applyBorder="1"/>
    <xf numFmtId="167" fontId="40" fillId="38" borderId="18" xfId="0" applyFont="1" applyFill="1" applyBorder="1"/>
    <xf numFmtId="167" fontId="34" fillId="34" borderId="0" xfId="0" applyFont="1" applyFill="1"/>
    <xf numFmtId="167" fontId="40" fillId="0" borderId="20" xfId="0" applyFont="1" applyBorder="1"/>
    <xf numFmtId="167" fontId="40" fillId="39" borderId="19" xfId="0" applyFont="1" applyFill="1" applyBorder="1"/>
    <xf numFmtId="167" fontId="40" fillId="39" borderId="16" xfId="0" applyFont="1" applyFill="1" applyBorder="1"/>
    <xf numFmtId="167" fontId="40" fillId="39" borderId="1" xfId="0" applyFont="1" applyFill="1" applyBorder="1"/>
    <xf numFmtId="167" fontId="40" fillId="39" borderId="14" xfId="0" applyFont="1" applyFill="1" applyBorder="1"/>
    <xf numFmtId="167" fontId="45" fillId="0" borderId="15" xfId="0" applyFont="1" applyBorder="1"/>
    <xf numFmtId="176" fontId="40" fillId="0" borderId="0" xfId="0" applyNumberFormat="1" applyFont="1"/>
    <xf numFmtId="167" fontId="36" fillId="0" borderId="0" xfId="0" applyFont="1"/>
    <xf numFmtId="166" fontId="34" fillId="0" borderId="0" xfId="54" applyNumberFormat="1" applyFont="1" applyFill="1"/>
    <xf numFmtId="166" fontId="52" fillId="0" borderId="0" xfId="54" applyNumberFormat="1" applyFont="1" applyProtection="1"/>
    <xf numFmtId="173" fontId="6" fillId="0" borderId="0" xfId="0" applyNumberFormat="1" applyFont="1"/>
    <xf numFmtId="167" fontId="53" fillId="0" borderId="0" xfId="0" applyFont="1"/>
    <xf numFmtId="167" fontId="6" fillId="0" borderId="0" xfId="0" applyFont="1"/>
    <xf numFmtId="167" fontId="6" fillId="0" borderId="0" xfId="0" applyFont="1" applyProtection="1">
      <protection locked="0"/>
    </xf>
    <xf numFmtId="169" fontId="6" fillId="0" borderId="0" xfId="4" applyFont="1"/>
    <xf numFmtId="166" fontId="55" fillId="0" borderId="0" xfId="54" applyNumberFormat="1" applyFont="1" applyProtection="1"/>
    <xf numFmtId="169" fontId="29" fillId="0" borderId="0" xfId="3" applyNumberFormat="1" applyFill="1" applyBorder="1"/>
    <xf numFmtId="167" fontId="56" fillId="0" borderId="0" xfId="0" applyFont="1"/>
    <xf numFmtId="167" fontId="56" fillId="0" borderId="18" xfId="0" applyFont="1" applyBorder="1"/>
    <xf numFmtId="167" fontId="38" fillId="0" borderId="0" xfId="0" applyFont="1"/>
    <xf numFmtId="167" fontId="38" fillId="0" borderId="18" xfId="0" applyFont="1" applyBorder="1"/>
    <xf numFmtId="169" fontId="40" fillId="0" borderId="0" xfId="4" applyFont="1" applyFill="1"/>
    <xf numFmtId="169" fontId="57" fillId="33" borderId="1" xfId="3" applyNumberFormat="1" applyFont="1"/>
    <xf numFmtId="167" fontId="57" fillId="33" borderId="1" xfId="3" applyNumberFormat="1" applyFont="1"/>
    <xf numFmtId="169" fontId="57" fillId="33" borderId="14" xfId="3" applyNumberFormat="1" applyFont="1" applyBorder="1"/>
    <xf numFmtId="169" fontId="57" fillId="0" borderId="15" xfId="3" applyNumberFormat="1" applyFont="1" applyFill="1" applyBorder="1"/>
    <xf numFmtId="173" fontId="31" fillId="36" borderId="14" xfId="0" applyNumberFormat="1" applyFont="1" applyFill="1" applyBorder="1"/>
    <xf numFmtId="177" fontId="57" fillId="33" borderId="1" xfId="3" applyNumberFormat="1" applyFont="1"/>
    <xf numFmtId="167" fontId="34" fillId="35" borderId="0" xfId="0" applyFont="1" applyFill="1"/>
    <xf numFmtId="175" fontId="34" fillId="35" borderId="0" xfId="0" applyNumberFormat="1" applyFont="1" applyFill="1"/>
    <xf numFmtId="166" fontId="35" fillId="0" borderId="15" xfId="52" applyNumberFormat="1" applyFont="1" applyFill="1" applyBorder="1" applyAlignment="1">
      <alignment horizontal="center"/>
    </xf>
    <xf numFmtId="167" fontId="41" fillId="0" borderId="13" xfId="0" applyFont="1" applyBorder="1"/>
    <xf numFmtId="167" fontId="51" fillId="0" borderId="13" xfId="0" applyFont="1" applyBorder="1"/>
    <xf numFmtId="173" fontId="31" fillId="40" borderId="1" xfId="0" applyNumberFormat="1" applyFont="1" applyFill="1" applyBorder="1"/>
    <xf numFmtId="167" fontId="31" fillId="40" borderId="19" xfId="0" applyFont="1" applyFill="1" applyBorder="1"/>
    <xf numFmtId="167" fontId="54" fillId="0" borderId="0" xfId="0" applyFont="1" applyAlignment="1">
      <alignment horizontal="right"/>
    </xf>
    <xf numFmtId="175" fontId="34" fillId="35" borderId="0" xfId="0" applyNumberFormat="1" applyFont="1" applyFill="1" applyAlignment="1">
      <alignment horizontal="right"/>
    </xf>
    <xf numFmtId="167" fontId="34" fillId="34" borderId="17" xfId="0" applyFont="1" applyFill="1" applyBorder="1"/>
    <xf numFmtId="166" fontId="34" fillId="34" borderId="15" xfId="54" applyNumberFormat="1" applyFont="1" applyFill="1" applyBorder="1" applyProtection="1"/>
    <xf numFmtId="166" fontId="40" fillId="0" borderId="0" xfId="59" applyFont="1" applyProtection="1"/>
    <xf numFmtId="172" fontId="38" fillId="33" borderId="1" xfId="3" applyNumberFormat="1" applyFont="1" applyProtection="1"/>
    <xf numFmtId="166" fontId="4" fillId="0" borderId="0" xfId="54" applyNumberFormat="1" applyFont="1" applyProtection="1"/>
    <xf numFmtId="169" fontId="40" fillId="0" borderId="15" xfId="4" applyFont="1" applyBorder="1"/>
    <xf numFmtId="169" fontId="40" fillId="0" borderId="16" xfId="4" applyFont="1" applyBorder="1"/>
    <xf numFmtId="166" fontId="61" fillId="34" borderId="15" xfId="59" applyFont="1" applyFill="1" applyBorder="1" applyProtection="1"/>
    <xf numFmtId="10" fontId="41" fillId="0" borderId="0" xfId="0" applyNumberFormat="1" applyFont="1"/>
    <xf numFmtId="10" fontId="29" fillId="0" borderId="0" xfId="3" applyNumberFormat="1" applyFill="1" applyBorder="1"/>
    <xf numFmtId="166" fontId="39" fillId="0" borderId="0" xfId="57" applyFont="1" applyBorder="1"/>
    <xf numFmtId="166" fontId="39" fillId="0" borderId="0" xfId="58" applyFont="1" applyBorder="1"/>
    <xf numFmtId="167" fontId="38" fillId="0" borderId="17" xfId="0" applyFont="1" applyBorder="1"/>
    <xf numFmtId="169" fontId="57" fillId="33" borderId="19" xfId="3" applyNumberFormat="1" applyFont="1" applyBorder="1"/>
    <xf numFmtId="167" fontId="3" fillId="0" borderId="18" xfId="0" applyFont="1" applyBorder="1"/>
    <xf numFmtId="179" fontId="46" fillId="0" borderId="0" xfId="0" applyNumberFormat="1" applyFont="1"/>
    <xf numFmtId="179" fontId="46" fillId="0" borderId="12" xfId="0" applyNumberFormat="1" applyFont="1" applyBorder="1"/>
    <xf numFmtId="179" fontId="46" fillId="0" borderId="13" xfId="0" applyNumberFormat="1" applyFont="1" applyBorder="1"/>
    <xf numFmtId="179" fontId="40" fillId="0" borderId="0" xfId="0" applyNumberFormat="1" applyFont="1"/>
    <xf numFmtId="167" fontId="40" fillId="0" borderId="24" xfId="0" applyFont="1" applyBorder="1"/>
    <xf numFmtId="167" fontId="40" fillId="0" borderId="15" xfId="4" applyNumberFormat="1" applyFont="1" applyBorder="1"/>
    <xf numFmtId="179" fontId="40" fillId="0" borderId="15" xfId="4" applyNumberFormat="1" applyFont="1" applyBorder="1"/>
    <xf numFmtId="179" fontId="40" fillId="0" borderId="0" xfId="0" applyNumberFormat="1" applyFont="1" applyAlignment="1">
      <alignment horizontal="right"/>
    </xf>
    <xf numFmtId="173" fontId="40" fillId="36" borderId="19" xfId="0" applyNumberFormat="1" applyFont="1" applyFill="1" applyBorder="1"/>
    <xf numFmtId="37" fontId="34" fillId="34" borderId="18" xfId="0" applyNumberFormat="1" applyFont="1" applyFill="1" applyBorder="1" applyAlignment="1">
      <alignment horizontal="right"/>
    </xf>
    <xf numFmtId="39" fontId="40" fillId="39" borderId="19" xfId="0" applyNumberFormat="1" applyFont="1" applyFill="1" applyBorder="1"/>
    <xf numFmtId="39" fontId="40" fillId="39" borderId="1" xfId="0" applyNumberFormat="1" applyFont="1" applyFill="1" applyBorder="1"/>
    <xf numFmtId="10" fontId="40" fillId="0" borderId="21" xfId="0" applyNumberFormat="1" applyFont="1" applyBorder="1"/>
    <xf numFmtId="39" fontId="40" fillId="0" borderId="0" xfId="0" applyNumberFormat="1" applyFont="1"/>
    <xf numFmtId="173" fontId="40" fillId="37" borderId="16" xfId="0" applyNumberFormat="1" applyFont="1" applyFill="1" applyBorder="1"/>
    <xf numFmtId="173" fontId="40" fillId="37" borderId="1" xfId="0" applyNumberFormat="1" applyFont="1" applyFill="1" applyBorder="1"/>
    <xf numFmtId="173" fontId="40" fillId="38" borderId="19" xfId="0" applyNumberFormat="1" applyFont="1" applyFill="1" applyBorder="1"/>
    <xf numFmtId="167" fontId="40" fillId="0" borderId="0" xfId="0" applyFont="1" applyAlignment="1">
      <alignment horizontal="right"/>
    </xf>
    <xf numFmtId="10" fontId="36" fillId="34" borderId="1" xfId="0" applyNumberFormat="1" applyFont="1" applyFill="1" applyBorder="1"/>
    <xf numFmtId="7" fontId="46" fillId="0" borderId="18" xfId="0" applyNumberFormat="1" applyFont="1" applyBorder="1"/>
    <xf numFmtId="172" fontId="38" fillId="33" borderId="19" xfId="3" applyNumberFormat="1" applyFont="1" applyBorder="1" applyProtection="1"/>
    <xf numFmtId="166" fontId="40" fillId="35" borderId="0" xfId="59" applyFont="1" applyFill="1" applyProtection="1"/>
    <xf numFmtId="172" fontId="38" fillId="35" borderId="0" xfId="3" applyNumberFormat="1" applyFont="1" applyFill="1" applyBorder="1" applyProtection="1"/>
    <xf numFmtId="166" fontId="34" fillId="35" borderId="0" xfId="59" applyFont="1" applyFill="1" applyProtection="1"/>
    <xf numFmtId="179" fontId="41" fillId="0" borderId="18" xfId="0" applyNumberFormat="1" applyFont="1" applyBorder="1"/>
    <xf numFmtId="175" fontId="34" fillId="34" borderId="0" xfId="52" applyNumberFormat="1" applyFont="1" applyFill="1" applyBorder="1" applyAlignment="1">
      <alignment horizontal="right" vertical="center"/>
    </xf>
    <xf numFmtId="167" fontId="46" fillId="0" borderId="18" xfId="0" applyFont="1" applyBorder="1" applyAlignment="1">
      <alignment horizontal="right"/>
    </xf>
    <xf numFmtId="173" fontId="40" fillId="39" borderId="19" xfId="0" applyNumberFormat="1" applyFont="1" applyFill="1" applyBorder="1"/>
    <xf numFmtId="167" fontId="67" fillId="0" borderId="0" xfId="0" applyFont="1"/>
    <xf numFmtId="173" fontId="36" fillId="0" borderId="0" xfId="0" applyNumberFormat="1" applyFont="1"/>
    <xf numFmtId="167" fontId="38" fillId="33" borderId="19" xfId="3" applyNumberFormat="1" applyFont="1" applyBorder="1" applyProtection="1"/>
    <xf numFmtId="167" fontId="40" fillId="0" borderId="21" xfId="0" applyFont="1" applyBorder="1"/>
    <xf numFmtId="167" fontId="40" fillId="35" borderId="15" xfId="0" applyFont="1" applyFill="1" applyBorder="1"/>
    <xf numFmtId="173" fontId="36" fillId="34" borderId="1" xfId="0" applyNumberFormat="1" applyFont="1" applyFill="1" applyBorder="1"/>
    <xf numFmtId="167" fontId="34" fillId="0" borderId="0" xfId="0" applyFont="1"/>
    <xf numFmtId="167" fontId="38" fillId="33" borderId="1" xfId="3" applyNumberFormat="1" applyFont="1" applyAlignment="1">
      <alignment horizontal="center"/>
    </xf>
    <xf numFmtId="167" fontId="40" fillId="38" borderId="20" xfId="0" applyFont="1" applyFill="1" applyBorder="1"/>
    <xf numFmtId="167" fontId="34" fillId="34" borderId="20" xfId="0" applyFont="1" applyFill="1" applyBorder="1"/>
    <xf numFmtId="167" fontId="34" fillId="34" borderId="15" xfId="0" applyFont="1" applyFill="1" applyBorder="1"/>
    <xf numFmtId="167" fontId="34" fillId="34" borderId="16" xfId="0" applyFont="1" applyFill="1" applyBorder="1"/>
    <xf numFmtId="167" fontId="40" fillId="0" borderId="14" xfId="4" applyNumberFormat="1" applyFont="1" applyBorder="1"/>
    <xf numFmtId="10" fontId="36" fillId="0" borderId="0" xfId="0" applyNumberFormat="1" applyFont="1"/>
    <xf numFmtId="176" fontId="38" fillId="0" borderId="15" xfId="3" applyNumberFormat="1" applyFont="1" applyFill="1" applyBorder="1" applyProtection="1"/>
    <xf numFmtId="172" fontId="38" fillId="0" borderId="15" xfId="3" applyNumberFormat="1" applyFont="1" applyFill="1" applyBorder="1" applyProtection="1"/>
    <xf numFmtId="176" fontId="36" fillId="0" borderId="0" xfId="0" applyNumberFormat="1" applyFont="1"/>
    <xf numFmtId="167" fontId="40" fillId="0" borderId="0" xfId="0" applyFont="1" applyAlignment="1">
      <alignment horizontal="center"/>
    </xf>
    <xf numFmtId="167" fontId="35" fillId="0" borderId="0" xfId="0" applyFont="1"/>
    <xf numFmtId="173" fontId="40" fillId="0" borderId="0" xfId="0" applyNumberFormat="1" applyFont="1" applyAlignment="1">
      <alignment horizontal="right"/>
    </xf>
    <xf numFmtId="178" fontId="36" fillId="0" borderId="0" xfId="0" applyNumberFormat="1" applyFont="1"/>
    <xf numFmtId="167" fontId="46" fillId="0" borderId="0" xfId="0" applyFont="1" applyAlignment="1">
      <alignment horizontal="center"/>
    </xf>
    <xf numFmtId="4" fontId="35" fillId="0" borderId="0" xfId="0" applyNumberFormat="1" applyFont="1"/>
    <xf numFmtId="176" fontId="46" fillId="0" borderId="0" xfId="0" applyNumberFormat="1" applyFont="1"/>
    <xf numFmtId="167" fontId="69" fillId="0" borderId="0" xfId="0" applyFont="1"/>
    <xf numFmtId="39" fontId="46" fillId="0" borderId="0" xfId="0" applyNumberFormat="1" applyFont="1"/>
    <xf numFmtId="10" fontId="46" fillId="0" borderId="0" xfId="0" applyNumberFormat="1" applyFont="1"/>
    <xf numFmtId="169" fontId="57" fillId="0" borderId="0" xfId="3" applyNumberFormat="1" applyFont="1" applyFill="1" applyBorder="1"/>
    <xf numFmtId="169" fontId="40" fillId="0" borderId="0" xfId="4" applyFont="1" applyFill="1" applyBorder="1"/>
    <xf numFmtId="167" fontId="2" fillId="0" borderId="0" xfId="0" applyFont="1"/>
    <xf numFmtId="166" fontId="2" fillId="0" borderId="0" xfId="57" applyFont="1" applyBorder="1"/>
    <xf numFmtId="166" fontId="2" fillId="0" borderId="0" xfId="57" applyFont="1"/>
    <xf numFmtId="169" fontId="70" fillId="33" borderId="1" xfId="3" applyNumberFormat="1" applyFont="1"/>
    <xf numFmtId="177" fontId="70" fillId="33" borderId="1" xfId="3" applyNumberFormat="1" applyFont="1"/>
    <xf numFmtId="167" fontId="70" fillId="33" borderId="1" xfId="3" applyNumberFormat="1" applyFont="1"/>
    <xf numFmtId="37" fontId="34" fillId="34" borderId="0" xfId="52" applyNumberFormat="1" applyFont="1" applyFill="1" applyBorder="1"/>
    <xf numFmtId="166" fontId="34" fillId="34" borderId="0" xfId="52" applyNumberFormat="1" applyFont="1" applyFill="1" applyBorder="1"/>
    <xf numFmtId="39" fontId="39" fillId="0" borderId="0" xfId="57" applyNumberFormat="1" applyFont="1" applyBorder="1"/>
    <xf numFmtId="166" fontId="39" fillId="0" borderId="0" xfId="57" applyFont="1" applyFill="1" applyBorder="1"/>
    <xf numFmtId="0" fontId="34" fillId="34" borderId="0" xfId="0" applyNumberFormat="1" applyFont="1" applyFill="1"/>
    <xf numFmtId="0" fontId="34" fillId="34" borderId="0" xfId="52" applyNumberFormat="1" applyFont="1" applyFill="1" applyBorder="1" applyAlignment="1">
      <alignment horizontal="right" vertical="center"/>
    </xf>
    <xf numFmtId="167" fontId="40" fillId="0" borderId="13" xfId="4" applyNumberFormat="1" applyFont="1" applyBorder="1"/>
    <xf numFmtId="179" fontId="40" fillId="0" borderId="0" xfId="4" applyNumberFormat="1" applyFont="1" applyBorder="1"/>
    <xf numFmtId="166" fontId="38" fillId="0" borderId="0" xfId="0" applyNumberFormat="1" applyFont="1"/>
    <xf numFmtId="166" fontId="38" fillId="0" borderId="18" xfId="0" applyNumberFormat="1" applyFont="1" applyBorder="1"/>
    <xf numFmtId="166" fontId="38" fillId="0" borderId="0" xfId="57" applyFont="1" applyFill="1"/>
    <xf numFmtId="166" fontId="38" fillId="0" borderId="18" xfId="57" applyFont="1" applyFill="1" applyBorder="1"/>
    <xf numFmtId="166" fontId="2" fillId="0" borderId="0" xfId="57" applyFont="1" applyFill="1"/>
    <xf numFmtId="9" fontId="40" fillId="0" borderId="0" xfId="0" applyNumberFormat="1" applyFont="1"/>
    <xf numFmtId="9" fontId="31" fillId="0" borderId="18" xfId="0" applyNumberFormat="1" applyFont="1" applyBorder="1"/>
    <xf numFmtId="0" fontId="60" fillId="35" borderId="0" xfId="3" applyNumberFormat="1" applyFont="1" applyFill="1" applyBorder="1"/>
    <xf numFmtId="175" fontId="34" fillId="0" borderId="0" xfId="52" applyNumberFormat="1" applyFont="1" applyFill="1" applyBorder="1" applyAlignment="1">
      <alignment horizontal="right" vertical="center"/>
    </xf>
    <xf numFmtId="0" fontId="34" fillId="35" borderId="0" xfId="0" applyNumberFormat="1" applyFont="1" applyFill="1"/>
    <xf numFmtId="167" fontId="46" fillId="35" borderId="0" xfId="0" applyFont="1" applyFill="1"/>
    <xf numFmtId="175" fontId="34" fillId="0" borderId="0" xfId="0" applyNumberFormat="1" applyFont="1"/>
    <xf numFmtId="167" fontId="57" fillId="0" borderId="0" xfId="3" applyNumberFormat="1" applyFont="1" applyFill="1" applyBorder="1"/>
    <xf numFmtId="175" fontId="60" fillId="0" borderId="0" xfId="3" applyNumberFormat="1" applyFont="1" applyFill="1" applyBorder="1"/>
    <xf numFmtId="0" fontId="60" fillId="0" borderId="0" xfId="3" applyNumberFormat="1" applyFont="1" applyFill="1" applyBorder="1"/>
    <xf numFmtId="177" fontId="57" fillId="0" borderId="0" xfId="3" applyNumberFormat="1" applyFont="1" applyFill="1" applyBorder="1"/>
    <xf numFmtId="173" fontId="57" fillId="0" borderId="0" xfId="0" applyNumberFormat="1" applyFont="1"/>
    <xf numFmtId="167" fontId="58" fillId="0" borderId="0" xfId="0" applyFont="1"/>
    <xf numFmtId="173" fontId="57" fillId="40" borderId="1" xfId="0" applyNumberFormat="1" applyFont="1" applyFill="1" applyBorder="1"/>
    <xf numFmtId="0" fontId="34" fillId="0" borderId="0" xfId="0" applyNumberFormat="1" applyFont="1"/>
    <xf numFmtId="167" fontId="51" fillId="0" borderId="0" xfId="0" applyFont="1"/>
    <xf numFmtId="167" fontId="31" fillId="0" borderId="0" xfId="0" applyFont="1"/>
    <xf numFmtId="0" fontId="34" fillId="0" borderId="0" xfId="52" applyNumberFormat="1" applyFont="1" applyFill="1" applyBorder="1" applyAlignment="1">
      <alignment horizontal="right" vertical="center"/>
    </xf>
    <xf numFmtId="167" fontId="31" fillId="40" borderId="1" xfId="0" applyFont="1" applyFill="1" applyBorder="1"/>
    <xf numFmtId="166" fontId="2" fillId="0" borderId="0" xfId="57" applyFont="1" applyFill="1" applyBorder="1"/>
    <xf numFmtId="169" fontId="70" fillId="0" borderId="0" xfId="3" applyNumberFormat="1" applyFont="1" applyFill="1" applyBorder="1"/>
    <xf numFmtId="177" fontId="70" fillId="0" borderId="0" xfId="3" applyNumberFormat="1" applyFont="1" applyFill="1" applyBorder="1"/>
    <xf numFmtId="167" fontId="70" fillId="0" borderId="0" xfId="3" applyNumberFormat="1" applyFont="1" applyFill="1" applyBorder="1"/>
    <xf numFmtId="173" fontId="70" fillId="0" borderId="0" xfId="3" applyNumberFormat="1" applyFont="1" applyFill="1" applyBorder="1"/>
    <xf numFmtId="174" fontId="46" fillId="0" borderId="0" xfId="0" applyNumberFormat="1" applyFont="1"/>
    <xf numFmtId="0" fontId="34" fillId="0" borderId="0" xfId="0" applyNumberFormat="1" applyFont="1" applyAlignment="1">
      <alignment horizontal="right"/>
    </xf>
    <xf numFmtId="179" fontId="40" fillId="0" borderId="0" xfId="4" applyNumberFormat="1" applyFont="1" applyFill="1" applyBorder="1"/>
    <xf numFmtId="167" fontId="40" fillId="0" borderId="0" xfId="4" applyNumberFormat="1" applyFont="1" applyFill="1" applyBorder="1"/>
    <xf numFmtId="166" fontId="61" fillId="0" borderId="0" xfId="59" applyFont="1" applyProtection="1"/>
    <xf numFmtId="179" fontId="38" fillId="0" borderId="18" xfId="0" applyNumberFormat="1" applyFont="1" applyBorder="1"/>
    <xf numFmtId="166" fontId="2" fillId="0" borderId="17" xfId="57" applyFont="1" applyFill="1" applyBorder="1"/>
    <xf numFmtId="39" fontId="40" fillId="0" borderId="1" xfId="0" applyNumberFormat="1" applyFont="1" applyBorder="1"/>
    <xf numFmtId="2" fontId="40" fillId="36" borderId="19" xfId="0" applyNumberFormat="1" applyFont="1" applyFill="1" applyBorder="1"/>
    <xf numFmtId="0" fontId="34" fillId="35" borderId="0" xfId="66" applyFont="1" applyFill="1" applyAlignment="1">
      <alignment horizontal="center" wrapText="1"/>
    </xf>
    <xf numFmtId="167" fontId="34" fillId="35" borderId="0" xfId="0" applyFont="1" applyFill="1" applyAlignment="1">
      <alignment horizontal="center" wrapText="1"/>
    </xf>
    <xf numFmtId="169" fontId="57" fillId="36" borderId="1" xfId="3" applyNumberFormat="1" applyFont="1" applyFill="1"/>
    <xf numFmtId="167" fontId="40" fillId="0" borderId="15" xfId="0" applyFont="1" applyBorder="1" applyAlignment="1">
      <alignment horizontal="center"/>
    </xf>
    <xf numFmtId="10" fontId="40" fillId="0" borderId="0" xfId="4" applyNumberFormat="1" applyFont="1" applyFill="1" applyBorder="1" applyAlignment="1" applyProtection="1">
      <alignment horizontal="right"/>
    </xf>
    <xf numFmtId="4" fontId="1" fillId="0" borderId="0" xfId="0" applyNumberFormat="1" applyFont="1"/>
    <xf numFmtId="180" fontId="46" fillId="0" borderId="0" xfId="0" applyNumberFormat="1" applyFont="1" applyAlignment="1">
      <alignment horizontal="center"/>
    </xf>
    <xf numFmtId="167" fontId="40" fillId="35" borderId="0" xfId="0" applyFont="1" applyFill="1" applyAlignment="1">
      <alignment horizontal="center"/>
    </xf>
    <xf numFmtId="167" fontId="34" fillId="0" borderId="0" xfId="53" applyFont="1" applyFill="1">
      <alignment horizontal="left" vertical="center"/>
    </xf>
    <xf numFmtId="10" fontId="71" fillId="33" borderId="1" xfId="3" applyNumberFormat="1" applyFont="1" applyAlignment="1">
      <alignment horizontal="center"/>
    </xf>
    <xf numFmtId="176" fontId="40" fillId="0" borderId="0" xfId="0" applyNumberFormat="1" applyFont="1" applyAlignment="1">
      <alignment horizontal="center"/>
    </xf>
    <xf numFmtId="167" fontId="34" fillId="0" borderId="0" xfId="0" applyFont="1" applyAlignment="1">
      <alignment wrapText="1"/>
    </xf>
    <xf numFmtId="167" fontId="34" fillId="0" borderId="0" xfId="0" applyFont="1" applyAlignment="1">
      <alignment horizontal="center" wrapText="1"/>
    </xf>
    <xf numFmtId="176" fontId="66" fillId="0" borderId="0" xfId="0" applyNumberFormat="1" applyFont="1" applyAlignment="1">
      <alignment horizontal="center"/>
    </xf>
    <xf numFmtId="7" fontId="46" fillId="0" borderId="0" xfId="0" applyNumberFormat="1" applyFont="1" applyAlignment="1">
      <alignment horizontal="center"/>
    </xf>
    <xf numFmtId="166" fontId="40" fillId="0" borderId="0" xfId="0" applyNumberFormat="1" applyFont="1" applyAlignment="1">
      <alignment horizontal="center"/>
    </xf>
    <xf numFmtId="10" fontId="40" fillId="0" borderId="0" xfId="0" applyNumberFormat="1" applyFont="1" applyAlignment="1">
      <alignment horizontal="center"/>
    </xf>
    <xf numFmtId="179" fontId="40" fillId="0" borderId="0" xfId="0" applyNumberFormat="1" applyFont="1" applyAlignment="1">
      <alignment horizontal="center"/>
    </xf>
    <xf numFmtId="10" fontId="40" fillId="0" borderId="0" xfId="0" applyNumberFormat="1" applyFont="1" applyAlignment="1">
      <alignment horizontal="right"/>
    </xf>
    <xf numFmtId="5" fontId="40" fillId="0" borderId="0" xfId="0" applyNumberFormat="1" applyFont="1" applyAlignment="1">
      <alignment horizontal="center"/>
    </xf>
    <xf numFmtId="40" fontId="40" fillId="0" borderId="0" xfId="0" applyNumberFormat="1" applyFont="1" applyAlignment="1">
      <alignment horizontal="center"/>
    </xf>
    <xf numFmtId="40" fontId="40" fillId="0" borderId="0" xfId="0" applyNumberFormat="1" applyFont="1" applyAlignment="1">
      <alignment horizontal="right"/>
    </xf>
    <xf numFmtId="166" fontId="40" fillId="0" borderId="0" xfId="0" applyNumberFormat="1" applyFont="1" applyAlignment="1">
      <alignment horizontal="right"/>
    </xf>
    <xf numFmtId="173" fontId="40" fillId="0" borderId="0" xfId="0" applyNumberFormat="1" applyFont="1" applyAlignment="1">
      <alignment horizontal="center"/>
    </xf>
    <xf numFmtId="167" fontId="68" fillId="0" borderId="0" xfId="0" applyFont="1" applyAlignment="1">
      <alignment horizontal="center"/>
    </xf>
    <xf numFmtId="183" fontId="66" fillId="33" borderId="14" xfId="3" applyNumberFormat="1" applyFont="1" applyBorder="1" applyAlignment="1">
      <alignment horizontal="center"/>
    </xf>
    <xf numFmtId="1" fontId="29" fillId="0" borderId="0" xfId="0" applyNumberFormat="1" applyFont="1"/>
    <xf numFmtId="166" fontId="6" fillId="0" borderId="0" xfId="0" applyNumberFormat="1" applyFont="1" applyAlignment="1">
      <alignment horizontal="right"/>
    </xf>
    <xf numFmtId="173" fontId="29" fillId="0" borderId="0" xfId="0" applyNumberFormat="1" applyFont="1"/>
    <xf numFmtId="175" fontId="6" fillId="0" borderId="0" xfId="0" applyNumberFormat="1" applyFont="1"/>
    <xf numFmtId="169" fontId="38" fillId="0" borderId="0" xfId="0" applyNumberFormat="1" applyFont="1"/>
    <xf numFmtId="169" fontId="40" fillId="0" borderId="0" xfId="4" applyFont="1" applyBorder="1"/>
    <xf numFmtId="167" fontId="40" fillId="0" borderId="0" xfId="4" applyNumberFormat="1" applyFont="1" applyBorder="1"/>
    <xf numFmtId="166" fontId="40" fillId="0" borderId="0" xfId="59" applyFont="1" applyAlignment="1" applyProtection="1">
      <alignment horizontal="centerContinuous"/>
    </xf>
    <xf numFmtId="166" fontId="40" fillId="0" borderId="0" xfId="59" applyFont="1" applyAlignment="1" applyProtection="1">
      <alignment horizontal="center"/>
    </xf>
    <xf numFmtId="10" fontId="34" fillId="0" borderId="0" xfId="0" applyNumberFormat="1" applyFont="1"/>
    <xf numFmtId="10" fontId="40" fillId="0" borderId="0" xfId="59" applyNumberFormat="1" applyFont="1" applyAlignment="1" applyProtection="1">
      <alignment horizontal="center"/>
    </xf>
    <xf numFmtId="10" fontId="40" fillId="0" borderId="0" xfId="59" applyNumberFormat="1" applyFont="1" applyProtection="1"/>
    <xf numFmtId="176" fontId="40" fillId="0" borderId="0" xfId="59" applyNumberFormat="1" applyFont="1" applyAlignment="1" applyProtection="1">
      <alignment horizontal="right"/>
    </xf>
    <xf numFmtId="10" fontId="36" fillId="0" borderId="0" xfId="0" applyNumberFormat="1" applyFont="1" applyAlignment="1">
      <alignment horizontal="center"/>
    </xf>
    <xf numFmtId="176" fontId="36" fillId="0" borderId="0" xfId="59" applyNumberFormat="1" applyFont="1" applyAlignment="1" applyProtection="1">
      <alignment horizontal="right"/>
    </xf>
    <xf numFmtId="10" fontId="40" fillId="0" borderId="0" xfId="59" applyNumberFormat="1" applyFont="1" applyAlignment="1" applyProtection="1">
      <alignment horizontal="right"/>
    </xf>
    <xf numFmtId="172" fontId="40" fillId="0" borderId="0" xfId="59" applyNumberFormat="1" applyFont="1" applyProtection="1"/>
    <xf numFmtId="40" fontId="40" fillId="0" borderId="0" xfId="59" applyNumberFormat="1" applyFont="1" applyProtection="1"/>
    <xf numFmtId="5" fontId="40" fillId="0" borderId="0" xfId="0" applyNumberFormat="1" applyFont="1"/>
    <xf numFmtId="181" fontId="40" fillId="0" borderId="0" xfId="0" applyNumberFormat="1" applyFont="1"/>
    <xf numFmtId="182" fontId="46" fillId="0" borderId="0" xfId="0" applyNumberFormat="1" applyFont="1"/>
    <xf numFmtId="3" fontId="46" fillId="0" borderId="0" xfId="0" applyNumberFormat="1" applyFont="1"/>
    <xf numFmtId="37" fontId="40" fillId="0" borderId="0" xfId="0" applyNumberFormat="1" applyFont="1"/>
    <xf numFmtId="180" fontId="40" fillId="0" borderId="0" xfId="0" applyNumberFormat="1" applyFont="1"/>
    <xf numFmtId="173" fontId="57" fillId="40" borderId="16" xfId="0" applyNumberFormat="1" applyFont="1" applyFill="1" applyBorder="1"/>
    <xf numFmtId="175" fontId="34" fillId="35" borderId="0" xfId="4" applyNumberFormat="1" applyFont="1" applyFill="1"/>
    <xf numFmtId="167" fontId="72" fillId="0" borderId="0" xfId="0" applyFont="1"/>
    <xf numFmtId="167" fontId="58" fillId="40" borderId="1" xfId="0" applyFont="1" applyFill="1" applyBorder="1"/>
    <xf numFmtId="169" fontId="57" fillId="33" borderId="16" xfId="3" applyNumberFormat="1" applyFont="1" applyBorder="1"/>
    <xf numFmtId="167" fontId="40" fillId="36" borderId="23" xfId="0" applyFont="1" applyFill="1" applyBorder="1"/>
    <xf numFmtId="173" fontId="40" fillId="36" borderId="1" xfId="0" applyNumberFormat="1" applyFont="1" applyFill="1" applyBorder="1"/>
    <xf numFmtId="178" fontId="29" fillId="33" borderId="1" xfId="3" applyNumberFormat="1"/>
    <xf numFmtId="175" fontId="59" fillId="0" borderId="0" xfId="0" applyNumberFormat="1" applyFont="1"/>
    <xf numFmtId="166" fontId="34" fillId="34" borderId="0" xfId="54" applyNumberFormat="1" applyFont="1" applyFill="1" applyBorder="1"/>
    <xf numFmtId="184" fontId="38" fillId="33" borderId="1" xfId="3" applyNumberFormat="1" applyFont="1" applyAlignment="1">
      <alignment horizontal="center"/>
    </xf>
    <xf numFmtId="185" fontId="40" fillId="0" borderId="0" xfId="0" applyNumberFormat="1" applyFont="1"/>
    <xf numFmtId="166" fontId="39" fillId="0" borderId="16" xfId="57" applyFont="1" applyBorder="1"/>
    <xf numFmtId="39" fontId="46" fillId="0" borderId="15" xfId="57" applyNumberFormat="1" applyFont="1" applyBorder="1"/>
    <xf numFmtId="39" fontId="46" fillId="0" borderId="13" xfId="57" applyNumberFormat="1" applyFont="1" applyBorder="1"/>
    <xf numFmtId="166" fontId="38" fillId="0" borderId="0" xfId="0" applyNumberFormat="1" applyFont="1" applyBorder="1"/>
    <xf numFmtId="179" fontId="40" fillId="0" borderId="0" xfId="0" applyNumberFormat="1" applyFont="1" applyBorder="1"/>
    <xf numFmtId="179" fontId="40" fillId="0" borderId="18" xfId="0" applyNumberFormat="1" applyFont="1" applyBorder="1"/>
    <xf numFmtId="188" fontId="40" fillId="0" borderId="0" xfId="0" applyNumberFormat="1" applyFont="1"/>
    <xf numFmtId="173" fontId="40" fillId="0" borderId="0" xfId="0" applyNumberFormat="1" applyFont="1" applyBorder="1" applyAlignment="1">
      <alignment horizontal="right"/>
    </xf>
    <xf numFmtId="173" fontId="40" fillId="0" borderId="18" xfId="0" applyNumberFormat="1" applyFont="1" applyBorder="1" applyAlignment="1">
      <alignment horizontal="right"/>
    </xf>
    <xf numFmtId="167" fontId="40" fillId="0" borderId="0" xfId="0" applyFont="1" applyBorder="1" applyAlignment="1">
      <alignment horizontal="right"/>
    </xf>
    <xf numFmtId="188" fontId="40" fillId="0" borderId="0" xfId="0" applyNumberFormat="1" applyFont="1" applyBorder="1" applyAlignment="1">
      <alignment horizontal="right"/>
    </xf>
    <xf numFmtId="167" fontId="57" fillId="33" borderId="14" xfId="3" applyNumberFormat="1" applyFont="1" applyBorder="1"/>
    <xf numFmtId="173" fontId="40" fillId="0" borderId="0" xfId="0" applyNumberFormat="1" applyFont="1" applyBorder="1"/>
    <xf numFmtId="167" fontId="40" fillId="0" borderId="0" xfId="0" applyFont="1" applyBorder="1"/>
    <xf numFmtId="167" fontId="46" fillId="0" borderId="0" xfId="0" applyFont="1" applyFill="1"/>
    <xf numFmtId="173" fontId="40" fillId="0" borderId="0" xfId="0" applyNumberFormat="1" applyFont="1" applyFill="1"/>
    <xf numFmtId="178" fontId="34" fillId="35" borderId="0" xfId="0" applyNumberFormat="1" applyFont="1" applyFill="1" applyAlignment="1">
      <alignment horizontal="right"/>
    </xf>
    <xf numFmtId="167" fontId="34" fillId="35" borderId="0" xfId="0" applyFont="1" applyFill="1" applyAlignment="1">
      <alignment horizontal="left"/>
    </xf>
    <xf numFmtId="167" fontId="46" fillId="0" borderId="0" xfId="0" applyFont="1" applyFill="1" applyAlignment="1">
      <alignment horizontal="left"/>
    </xf>
    <xf numFmtId="167" fontId="46" fillId="0" borderId="0" xfId="0" applyFont="1" applyBorder="1"/>
    <xf numFmtId="175" fontId="34" fillId="0" borderId="0" xfId="0" quotePrefix="1" applyNumberFormat="1" applyFont="1"/>
    <xf numFmtId="0" fontId="59" fillId="35" borderId="0" xfId="0" applyNumberFormat="1" applyFont="1" applyFill="1"/>
    <xf numFmtId="173" fontId="41" fillId="0" borderId="0" xfId="0" applyNumberFormat="1" applyFont="1" applyBorder="1"/>
    <xf numFmtId="173" fontId="70" fillId="42" borderId="0" xfId="0" applyNumberFormat="1" applyFont="1" applyFill="1" applyBorder="1"/>
    <xf numFmtId="173" fontId="70" fillId="42" borderId="18" xfId="0" applyNumberFormat="1" applyFont="1" applyFill="1" applyBorder="1"/>
    <xf numFmtId="167" fontId="41" fillId="0" borderId="0" xfId="0" applyFont="1" applyBorder="1"/>
    <xf numFmtId="173" fontId="41" fillId="0" borderId="13" xfId="0" applyNumberFormat="1" applyFont="1" applyBorder="1"/>
    <xf numFmtId="178" fontId="34" fillId="35" borderId="0" xfId="0" applyNumberFormat="1" applyFont="1" applyFill="1" applyBorder="1" applyAlignment="1">
      <alignment horizontal="right"/>
    </xf>
    <xf numFmtId="178" fontId="34" fillId="35" borderId="18" xfId="0" applyNumberFormat="1" applyFont="1" applyFill="1" applyBorder="1" applyAlignment="1">
      <alignment horizontal="right"/>
    </xf>
    <xf numFmtId="166" fontId="39" fillId="43" borderId="0" xfId="57" applyFont="1" applyFill="1"/>
    <xf numFmtId="0" fontId="80" fillId="0" borderId="25" xfId="75" applyFont="1" applyBorder="1" applyAlignment="1">
      <alignment horizontal="left" vertical="center" wrapText="1"/>
    </xf>
    <xf numFmtId="38" fontId="81" fillId="44" borderId="25" xfId="75" applyNumberFormat="1" applyFont="1" applyFill="1" applyBorder="1" applyAlignment="1">
      <alignment vertical="center"/>
    </xf>
    <xf numFmtId="38" fontId="81" fillId="45" borderId="25" xfId="75" applyNumberFormat="1" applyFont="1" applyFill="1" applyBorder="1" applyAlignment="1">
      <alignment vertical="center"/>
    </xf>
    <xf numFmtId="39" fontId="46" fillId="0" borderId="0" xfId="57" applyNumberFormat="1" applyFont="1" applyBorder="1"/>
    <xf numFmtId="39" fontId="39" fillId="0" borderId="17" xfId="57" applyNumberFormat="1" applyFont="1" applyBorder="1"/>
    <xf numFmtId="188" fontId="70" fillId="33" borderId="1" xfId="3" applyNumberFormat="1" applyFont="1"/>
    <xf numFmtId="167" fontId="40" fillId="43" borderId="0" xfId="0" applyFont="1" applyFill="1"/>
    <xf numFmtId="179" fontId="46" fillId="0" borderId="14" xfId="0" applyNumberFormat="1" applyFont="1" applyBorder="1"/>
    <xf numFmtId="39" fontId="46" fillId="0" borderId="14" xfId="57" applyNumberFormat="1" applyFont="1" applyBorder="1"/>
    <xf numFmtId="167" fontId="38" fillId="33" borderId="19" xfId="3" applyFont="1" applyBorder="1" applyAlignment="1">
      <alignment horizontal="center"/>
    </xf>
    <xf numFmtId="167" fontId="38" fillId="0" borderId="15" xfId="3" applyFont="1" applyFill="1" applyBorder="1" applyAlignment="1">
      <alignment horizontal="center"/>
    </xf>
    <xf numFmtId="191" fontId="46" fillId="0" borderId="14" xfId="0" applyNumberFormat="1" applyFont="1" applyBorder="1"/>
    <xf numFmtId="191" fontId="66" fillId="33" borderId="1" xfId="3" applyNumberFormat="1" applyFont="1" applyAlignment="1">
      <alignment horizontal="center"/>
    </xf>
    <xf numFmtId="191" fontId="66" fillId="33" borderId="14" xfId="3" applyNumberFormat="1" applyFont="1" applyBorder="1" applyAlignment="1">
      <alignment horizontal="center"/>
    </xf>
    <xf numFmtId="191" fontId="66" fillId="0" borderId="15" xfId="3" applyNumberFormat="1" applyFont="1" applyFill="1" applyBorder="1" applyAlignment="1">
      <alignment horizontal="center"/>
    </xf>
    <xf numFmtId="10" fontId="82" fillId="33" borderId="1" xfId="3" applyNumberFormat="1" applyFont="1" applyAlignment="1">
      <alignment horizontal="center"/>
    </xf>
    <xf numFmtId="3" fontId="40" fillId="0" borderId="18" xfId="0" applyNumberFormat="1" applyFont="1" applyBorder="1"/>
    <xf numFmtId="167" fontId="40" fillId="0" borderId="15" xfId="0" applyFont="1" applyFill="1" applyBorder="1"/>
    <xf numFmtId="181" fontId="40" fillId="0" borderId="0" xfId="0" applyNumberFormat="1" applyFont="1" applyBorder="1"/>
    <xf numFmtId="167" fontId="40" fillId="0" borderId="0" xfId="0" applyFont="1" applyFill="1" applyBorder="1"/>
    <xf numFmtId="167" fontId="46" fillId="0" borderId="0" xfId="0" applyFont="1" applyFill="1" applyBorder="1"/>
    <xf numFmtId="176" fontId="40" fillId="0" borderId="0" xfId="0" applyNumberFormat="1" applyFont="1" applyFill="1" applyBorder="1"/>
    <xf numFmtId="3" fontId="40" fillId="0" borderId="0" xfId="0" applyNumberFormat="1" applyFont="1" applyFill="1" applyBorder="1"/>
    <xf numFmtId="176" fontId="36" fillId="0" borderId="0" xfId="0" applyNumberFormat="1" applyFont="1" applyFill="1" applyBorder="1"/>
    <xf numFmtId="167" fontId="40" fillId="0" borderId="0" xfId="0" applyFont="1" applyFill="1" applyBorder="1" applyAlignment="1">
      <alignment horizontal="right"/>
    </xf>
    <xf numFmtId="173" fontId="40" fillId="0" borderId="0" xfId="0" applyNumberFormat="1" applyFont="1" applyFill="1" applyBorder="1"/>
    <xf numFmtId="173" fontId="46" fillId="0" borderId="0" xfId="0" applyNumberFormat="1" applyFont="1" applyFill="1" applyBorder="1"/>
    <xf numFmtId="167" fontId="34" fillId="0" borderId="0" xfId="0" applyFont="1" applyFill="1" applyAlignment="1">
      <alignment horizontal="center" wrapText="1"/>
    </xf>
    <xf numFmtId="182" fontId="40" fillId="0" borderId="15" xfId="0" applyNumberFormat="1" applyFont="1" applyFill="1" applyBorder="1"/>
    <xf numFmtId="167" fontId="40" fillId="42" borderId="15" xfId="0" applyFont="1" applyFill="1" applyBorder="1"/>
    <xf numFmtId="182" fontId="40" fillId="42" borderId="15" xfId="0" applyNumberFormat="1" applyFont="1" applyFill="1" applyBorder="1" applyAlignment="1">
      <alignment horizontal="center"/>
    </xf>
    <xf numFmtId="3" fontId="40" fillId="42" borderId="14" xfId="0" applyNumberFormat="1" applyFont="1" applyFill="1" applyBorder="1"/>
    <xf numFmtId="182" fontId="40" fillId="42" borderId="1" xfId="0" applyNumberFormat="1" applyFont="1" applyFill="1" applyBorder="1" applyAlignment="1">
      <alignment horizontal="center"/>
    </xf>
    <xf numFmtId="191" fontId="66" fillId="42" borderId="14" xfId="3" applyNumberFormat="1" applyFont="1" applyFill="1" applyBorder="1" applyAlignment="1">
      <alignment horizontal="center"/>
    </xf>
    <xf numFmtId="176" fontId="40" fillId="0" borderId="16" xfId="0" applyNumberFormat="1" applyFont="1" applyFill="1" applyBorder="1"/>
    <xf numFmtId="173" fontId="34" fillId="34" borderId="0" xfId="0" applyNumberFormat="1" applyFont="1" applyFill="1"/>
    <xf numFmtId="10" fontId="34" fillId="34" borderId="0" xfId="0" applyNumberFormat="1" applyFont="1" applyFill="1"/>
    <xf numFmtId="173" fontId="46" fillId="0" borderId="0" xfId="0" applyNumberFormat="1" applyFont="1" applyFill="1"/>
    <xf numFmtId="182" fontId="40" fillId="0" borderId="0" xfId="0" applyNumberFormat="1" applyFont="1" applyAlignment="1">
      <alignment horizontal="center"/>
    </xf>
    <xf numFmtId="191" fontId="46" fillId="0" borderId="0" xfId="0" applyNumberFormat="1" applyFont="1" applyBorder="1"/>
    <xf numFmtId="10" fontId="46" fillId="0" borderId="0" xfId="0" applyNumberFormat="1" applyFont="1" applyFill="1"/>
  </cellXfs>
  <cellStyles count="77">
    <cellStyle name="20% - Accent1" xfId="23" builtinId="30" hidden="1"/>
    <cellStyle name="20% - Accent2" xfId="27" builtinId="34" hidden="1"/>
    <cellStyle name="20% - Accent3" xfId="31" builtinId="38" hidden="1"/>
    <cellStyle name="20% - Accent4" xfId="35" builtinId="42" hidden="1"/>
    <cellStyle name="20% - Accent5" xfId="39" builtinId="46" hidden="1"/>
    <cellStyle name="20% - Accent6" xfId="43" builtinId="50" hidden="1"/>
    <cellStyle name="40% - Accent1" xfId="24" builtinId="31" hidden="1"/>
    <cellStyle name="40% - Accent2" xfId="28" builtinId="35" hidden="1"/>
    <cellStyle name="40% - Accent3" xfId="32" builtinId="39" hidden="1"/>
    <cellStyle name="40% - Accent4" xfId="36" builtinId="43" hidden="1"/>
    <cellStyle name="40% - Accent5" xfId="40" builtinId="47" hidden="1"/>
    <cellStyle name="40% - Accent6" xfId="44" builtinId="51" hidden="1"/>
    <cellStyle name="60% - Accent1" xfId="25" builtinId="32" hidden="1"/>
    <cellStyle name="60% - Accent2" xfId="29" builtinId="36" hidden="1"/>
    <cellStyle name="60% - Accent3" xfId="33" builtinId="40" hidden="1"/>
    <cellStyle name="60% - Accent4" xfId="37" builtinId="44" hidden="1"/>
    <cellStyle name="60% - Accent5" xfId="41" builtinId="48" hidden="1"/>
    <cellStyle name="60% - Accent6" xfId="45" builtinId="52" hidden="1"/>
    <cellStyle name="Accent1" xfId="22" builtinId="29" hidden="1"/>
    <cellStyle name="Accent2" xfId="26" builtinId="33" hidden="1"/>
    <cellStyle name="Accent3" xfId="30" builtinId="37" hidden="1"/>
    <cellStyle name="Accent4" xfId="34" builtinId="41" hidden="1"/>
    <cellStyle name="Accent5" xfId="38" builtinId="45" hidden="1"/>
    <cellStyle name="Accent6" xfId="42" builtinId="49" hidden="1"/>
    <cellStyle name="Bad" xfId="12" builtinId="27" hidden="1"/>
    <cellStyle name="blp_column_header" xfId="66" xr:uid="{AF54CA06-E9C5-47E9-94D2-0FADAEF0B6B2}"/>
    <cellStyle name="Blue" xfId="57" xr:uid="{00000000-0005-0000-0000-000019000000}"/>
    <cellStyle name="Blue 2" xfId="58" xr:uid="{00000000-0005-0000-0000-00001A000000}"/>
    <cellStyle name="Calculation" xfId="15" builtinId="22" hidden="1"/>
    <cellStyle name="Check Cell" xfId="17" builtinId="23" hidden="1"/>
    <cellStyle name="Comma" xfId="47" builtinId="3" hidden="1"/>
    <cellStyle name="Comma [0]" xfId="48" builtinId="6" hidden="1"/>
    <cellStyle name="Currency" xfId="49" builtinId="4" hidden="1"/>
    <cellStyle name="Currency [0]" xfId="50" builtinId="7" hidden="1"/>
    <cellStyle name="Date" xfId="1" xr:uid="{00000000-0005-0000-0000-000021000000}"/>
    <cellStyle name="Explanatory Text" xfId="20" builtinId="53" hidden="1"/>
    <cellStyle name="fa_column_header_bottom" xfId="67" xr:uid="{B37CB0A4-C947-4ACB-B9B9-C19627451DA0}"/>
    <cellStyle name="Followed Hyperlink" xfId="46" builtinId="9" hidden="1"/>
    <cellStyle name="Good" xfId="11" builtinId="26" hidden="1"/>
    <cellStyle name="Header" xfId="52" xr:uid="{00000000-0005-0000-0000-000025000000}"/>
    <cellStyle name="Heading 1" xfId="7" builtinId="16" hidden="1"/>
    <cellStyle name="Heading 2" xfId="8" builtinId="17" hidden="1"/>
    <cellStyle name="Heading 3" xfId="9" builtinId="18" hidden="1"/>
    <cellStyle name="Heading 4" xfId="10" builtinId="19" hidden="1"/>
    <cellStyle name="Historics" xfId="5" xr:uid="{00000000-0005-0000-0000-00002A000000}"/>
    <cellStyle name="Hyperlink" xfId="2" builtinId="8" hidden="1"/>
    <cellStyle name="Hyperlink 2" xfId="63" xr:uid="{57AD9CC5-9338-4D16-BF1A-884F881EA8CD}"/>
    <cellStyle name="Input" xfId="3" builtinId="20" customBuiltin="1"/>
    <cellStyle name="Input %" xfId="56" xr:uid="{00000000-0005-0000-0000-00002D000000}"/>
    <cellStyle name="Linked Cell" xfId="16" builtinId="24" hidden="1"/>
    <cellStyle name="Multiple" xfId="51" xr:uid="{00000000-0005-0000-0000-00002F000000}"/>
    <cellStyle name="Neutral" xfId="13" builtinId="28" hidden="1"/>
    <cellStyle name="Normal" xfId="0" builtinId="0" customBuiltin="1"/>
    <cellStyle name="Normal 2" xfId="59" xr:uid="{0A8E609E-3410-4D42-B3E5-0CEDA3329063}"/>
    <cellStyle name="Normal 2 2" xfId="64" xr:uid="{9D99E413-20CC-4F11-AA53-24332CDFCBF4}"/>
    <cellStyle name="Normal 3" xfId="61" xr:uid="{31E45258-C707-4FFF-AD35-8231101EDEE0}"/>
    <cellStyle name="Normal 4" xfId="68" xr:uid="{5D1A956E-5A6D-4B4B-9931-6AB8F2294295}"/>
    <cellStyle name="Note" xfId="19" builtinId="10" hidden="1"/>
    <cellStyle name="Output" xfId="14" builtinId="21" hidden="1"/>
    <cellStyle name="Percent" xfId="4" builtinId="5" customBuiltin="1"/>
    <cellStyle name="Percent 2" xfId="62" xr:uid="{2050E5B5-C816-466F-AB53-D85F6FC7433A}"/>
    <cellStyle name="SubHeader" xfId="53" xr:uid="{00000000-0005-0000-0000-000035000000}"/>
    <cellStyle name="SubHeader2" xfId="54" xr:uid="{00000000-0005-0000-0000-000036000000}"/>
    <cellStyle name="SubHeader3" xfId="65" xr:uid="{E3F0A91E-F702-431E-964C-140D77ADB2F2}"/>
    <cellStyle name="Title" xfId="6" builtinId="15" hidden="1"/>
    <cellStyle name="Total" xfId="21" builtinId="25" hidden="1"/>
    <cellStyle name="Warning Text" xfId="18" builtinId="11" hidden="1"/>
    <cellStyle name="xGuides" xfId="60" xr:uid="{84689593-CF67-4082-A4B0-622C31D0642E}"/>
    <cellStyle name="YesNo" xfId="55" xr:uid="{00000000-0005-0000-0000-00003A000000}"/>
    <cellStyle name="パーセント 4" xfId="69" xr:uid="{6F34F6D5-FF0C-40F0-84DD-FEDE8B0CFD47}"/>
    <cellStyle name="桁区切り 2" xfId="70" xr:uid="{C5EDE71F-A7A6-46D6-BBF3-A1183E0483F4}"/>
    <cellStyle name="桁区切り 5" xfId="71" xr:uid="{AE2E787D-0DF3-4843-B757-F2189AE9276B}"/>
    <cellStyle name="標準 19" xfId="72" xr:uid="{E62D3B04-EBCE-440D-8CE1-4D54BCC38604}"/>
    <cellStyle name="標準 2" xfId="73" xr:uid="{0E0F09A7-623F-4E1E-BF83-432B2B928F36}"/>
    <cellStyle name="標準 2 2 7" xfId="74" xr:uid="{4B1D820A-F8A9-4E4B-93F9-C32B72E6DAC2}"/>
    <cellStyle name="標準 3" xfId="76" xr:uid="{C65BCF48-D348-4D57-883E-D3238D2DF30C}"/>
    <cellStyle name="標準_Sheet1" xfId="75" xr:uid="{2D0503BF-D1D6-4CB6-BF09-5B986BC94301}"/>
  </cellStyles>
  <dxfs count="9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E00"/>
      <rgbColor rgb="00000080"/>
      <rgbColor rgb="00808000"/>
      <rgbColor rgb="00800080"/>
      <rgbColor rgb="00008080"/>
      <rgbColor rgb="00C0C0C0"/>
      <rgbColor rgb="00808080"/>
      <rgbColor rgb="00EAFFDF"/>
      <rgbColor rgb="00993366"/>
      <rgbColor rgb="00FFFFCB"/>
      <rgbColor rgb="00E3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472C4"/>
      <color rgb="FF34A853"/>
      <color rgb="FF0000FF"/>
      <color rgb="FF44546A"/>
      <color rgb="FFEA4335"/>
      <color rgb="FF5F6368"/>
      <color rgb="FFFBBC05"/>
      <color rgb="FFFF8585"/>
      <color rgb="FF4285F4"/>
      <color rgb="FFB4DE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ustomXml" Target="../customXml/item3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eand\Downloads\Lululemon%20DCF%20model%20solution%20std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TS"/>
      <sheetName val="Inputs"/>
      <sheetName val="Model"/>
      <sheetName val="DCF"/>
      <sheetName val="Presentation sheet"/>
    </sheetNames>
    <sheetDataSet>
      <sheetData sheetId="0" refreshError="1"/>
      <sheetData sheetId="1" refreshError="1"/>
      <sheetData sheetId="2" refreshError="1"/>
      <sheetData sheetId="3">
        <row r="98">
          <cell r="E98">
            <v>1</v>
          </cell>
        </row>
      </sheetData>
      <sheetData sheetId="4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AMT Training">
      <a:dk1>
        <a:srgbClr val="000000"/>
      </a:dk1>
      <a:lt1>
        <a:sysClr val="window" lastClr="FFFFFF"/>
      </a:lt1>
      <a:dk2>
        <a:srgbClr val="46484C"/>
      </a:dk2>
      <a:lt2>
        <a:srgbClr val="65686D"/>
      </a:lt2>
      <a:accent1>
        <a:srgbClr val="AFD7FF"/>
      </a:accent1>
      <a:accent2>
        <a:srgbClr val="007BEA"/>
      </a:accent2>
      <a:accent3>
        <a:srgbClr val="64E8C8"/>
      </a:accent3>
      <a:accent4>
        <a:srgbClr val="6DB9FF"/>
      </a:accent4>
      <a:accent5>
        <a:srgbClr val="C5D2D5"/>
      </a:accent5>
      <a:accent6>
        <a:srgbClr val="FFFFA0"/>
      </a:accent6>
      <a:hlink>
        <a:srgbClr val="00B050"/>
      </a:hlink>
      <a:folHlink>
        <a:srgbClr val="D2001E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30"/>
  <sheetViews>
    <sheetView showGridLines="0" tabSelected="1" zoomScaleNormal="100" workbookViewId="0">
      <selection activeCell="C10" sqref="C10"/>
    </sheetView>
  </sheetViews>
  <sheetFormatPr defaultColWidth="9.140625" defaultRowHeight="15"/>
  <cols>
    <col min="1" max="1" width="4.28515625" style="4" bestFit="1" customWidth="1"/>
    <col min="2" max="2" width="22.85546875" style="4" customWidth="1"/>
    <col min="3" max="3" width="23.5703125" style="4" bestFit="1" customWidth="1"/>
    <col min="4" max="4" width="17.42578125" style="4" customWidth="1"/>
    <col min="5" max="5" width="18.7109375" style="4" customWidth="1"/>
    <col min="6" max="6" width="17.42578125" style="4" customWidth="1"/>
    <col min="7" max="7" width="13.42578125" style="4" customWidth="1"/>
    <col min="8" max="8" width="17.42578125" style="4" bestFit="1" customWidth="1"/>
    <col min="9" max="9" width="13.42578125" style="4" customWidth="1"/>
    <col min="10" max="10" width="16.28515625" style="4" customWidth="1"/>
    <col min="11" max="11" width="17.42578125" style="4" bestFit="1" customWidth="1"/>
    <col min="12" max="14" width="13.42578125" style="4" customWidth="1"/>
    <col min="15" max="15" width="13.140625" style="4" customWidth="1"/>
    <col min="16" max="16" width="12.7109375" style="4" customWidth="1"/>
    <col min="17" max="17" width="13.140625" style="4" customWidth="1"/>
    <col min="18" max="16384" width="9.140625" style="4"/>
  </cols>
  <sheetData>
    <row r="1" spans="1:15" s="51" customFormat="1" ht="19.5">
      <c r="A1" s="293" t="str">
        <f>CoName</f>
        <v>Fast Retailing</v>
      </c>
      <c r="B1" s="2"/>
      <c r="C1" s="2"/>
      <c r="D1" s="160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s="16" customFormat="1">
      <c r="A2" s="67" t="s">
        <v>191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</row>
    <row r="4" spans="1:15">
      <c r="B4" s="4" t="s">
        <v>3</v>
      </c>
      <c r="C4" s="53" t="s">
        <v>193</v>
      </c>
      <c r="E4" s="4" t="s">
        <v>171</v>
      </c>
      <c r="F4" s="301">
        <v>55340</v>
      </c>
    </row>
    <row r="5" spans="1:15">
      <c r="B5" s="4" t="s">
        <v>4</v>
      </c>
      <c r="C5" s="54">
        <v>46268.43</v>
      </c>
      <c r="E5" s="4" t="s">
        <v>177</v>
      </c>
      <c r="F5" s="167">
        <v>318.22096800000003</v>
      </c>
    </row>
    <row r="6" spans="1:15">
      <c r="B6" s="4" t="s">
        <v>5</v>
      </c>
      <c r="C6" s="53" t="s">
        <v>194</v>
      </c>
      <c r="E6" s="4" t="s">
        <v>103</v>
      </c>
      <c r="F6" s="167">
        <f>F5*F4</f>
        <v>17610348.369120002</v>
      </c>
    </row>
    <row r="7" spans="1:15">
      <c r="B7" s="4" t="s">
        <v>6</v>
      </c>
      <c r="C7" s="53" t="s">
        <v>8</v>
      </c>
      <c r="E7" s="4" t="s">
        <v>178</v>
      </c>
      <c r="F7" s="53">
        <f>BalSheet!E18</f>
        <v>1800229.2328767122</v>
      </c>
    </row>
    <row r="8" spans="1:15">
      <c r="B8" s="4" t="s">
        <v>2</v>
      </c>
      <c r="C8" s="53" t="s">
        <v>86</v>
      </c>
      <c r="E8" s="4" t="s">
        <v>146</v>
      </c>
      <c r="F8" s="53">
        <v>0</v>
      </c>
    </row>
    <row r="9" spans="1:15">
      <c r="B9" s="4" t="s">
        <v>7</v>
      </c>
      <c r="C9" s="342">
        <v>0</v>
      </c>
      <c r="E9" s="4" t="s">
        <v>121</v>
      </c>
      <c r="F9" s="53">
        <v>54385</v>
      </c>
    </row>
    <row r="10" spans="1:15">
      <c r="C10" s="343"/>
      <c r="E10" s="4" t="s">
        <v>117</v>
      </c>
      <c r="F10" s="53">
        <f>F6-F7+F8+54385</f>
        <v>15864504.136243289</v>
      </c>
    </row>
    <row r="12" spans="1:15">
      <c r="B12" s="11" t="s">
        <v>217</v>
      </c>
      <c r="C12" s="177" t="s">
        <v>190</v>
      </c>
      <c r="D12" s="177" t="s">
        <v>187</v>
      </c>
      <c r="E12" s="177" t="s">
        <v>230</v>
      </c>
      <c r="F12" s="177" t="s">
        <v>192</v>
      </c>
    </row>
    <row r="13" spans="1:15">
      <c r="B13" s="4" t="s">
        <v>179</v>
      </c>
      <c r="C13" s="345">
        <v>51689.128507229587</v>
      </c>
      <c r="D13" s="346">
        <v>48482.83203868811</v>
      </c>
      <c r="E13" s="346">
        <f>SOTP!G9</f>
        <v>60376.098575318349</v>
      </c>
      <c r="F13" s="266">
        <f>AVERAGE(C13:E13)</f>
        <v>53516.019707078674</v>
      </c>
    </row>
    <row r="14" spans="1:15">
      <c r="A14" s="249"/>
      <c r="B14" s="4" t="s">
        <v>180</v>
      </c>
      <c r="C14" s="250">
        <f>C13/$F$4-1</f>
        <v>-6.5971656898634157E-2</v>
      </c>
      <c r="D14" s="250">
        <f t="shared" ref="D14:E14" si="0">D13/$F$4-1</f>
        <v>-0.12390979330162433</v>
      </c>
      <c r="E14" s="348">
        <f t="shared" si="0"/>
        <v>9.1002865473768457E-2</v>
      </c>
      <c r="F14" s="250">
        <f>F13/$F$4-1</f>
        <v>-3.2959528242163416E-2</v>
      </c>
      <c r="G14" s="249"/>
      <c r="H14" s="249"/>
      <c r="I14" s="249"/>
      <c r="J14" s="249"/>
      <c r="K14" s="249"/>
      <c r="L14" s="249"/>
      <c r="M14" s="249"/>
      <c r="N14" s="249"/>
      <c r="O14" s="249"/>
    </row>
    <row r="15" spans="1:15">
      <c r="A15" s="87"/>
      <c r="C15" s="177"/>
      <c r="D15" s="177"/>
      <c r="E15" s="177"/>
      <c r="F15" s="177"/>
    </row>
    <row r="16" spans="1:15">
      <c r="B16" s="11" t="s">
        <v>218</v>
      </c>
      <c r="C16" s="177" t="s">
        <v>190</v>
      </c>
      <c r="D16" s="177" t="s">
        <v>187</v>
      </c>
      <c r="E16" s="177" t="s">
        <v>230</v>
      </c>
      <c r="F16" s="177" t="s">
        <v>192</v>
      </c>
    </row>
    <row r="17" spans="2:6">
      <c r="B17" s="4" t="s">
        <v>179</v>
      </c>
      <c r="C17" s="345">
        <v>60065.779652882804</v>
      </c>
      <c r="D17" s="346">
        <v>55418.063622119844</v>
      </c>
      <c r="E17" s="346">
        <f>E13</f>
        <v>60376.098575318349</v>
      </c>
      <c r="F17" s="266">
        <f>AVERAGE(C17:E17)</f>
        <v>58619.980616773661</v>
      </c>
    </row>
    <row r="18" spans="2:6">
      <c r="B18" s="4" t="s">
        <v>180</v>
      </c>
      <c r="C18" s="348">
        <f t="shared" ref="C18:E18" si="1">C17/$F$4-1</f>
        <v>8.5395367778872577E-2</v>
      </c>
      <c r="D18" s="348">
        <f t="shared" si="1"/>
        <v>1.4106183975395314E-3</v>
      </c>
      <c r="E18" s="348">
        <f t="shared" si="1"/>
        <v>9.1002865473768457E-2</v>
      </c>
      <c r="F18" s="348">
        <f>F17/$F$4-1</f>
        <v>5.9269617216726855E-2</v>
      </c>
    </row>
    <row r="19" spans="2:6">
      <c r="C19" s="177"/>
      <c r="D19" s="177"/>
      <c r="E19" s="177"/>
      <c r="F19" s="177"/>
    </row>
    <row r="20" spans="2:6">
      <c r="B20" s="11" t="s">
        <v>219</v>
      </c>
      <c r="C20" s="177" t="s">
        <v>190</v>
      </c>
      <c r="D20" s="177" t="s">
        <v>187</v>
      </c>
      <c r="E20" s="177" t="s">
        <v>230</v>
      </c>
      <c r="F20" s="177" t="s">
        <v>192</v>
      </c>
    </row>
    <row r="21" spans="2:6">
      <c r="B21" s="4" t="s">
        <v>179</v>
      </c>
      <c r="C21" s="345">
        <v>41980.207562542513</v>
      </c>
      <c r="D21" s="346">
        <v>40169.913570904369</v>
      </c>
      <c r="E21" s="346">
        <f>E17</f>
        <v>60376.098575318349</v>
      </c>
      <c r="F21" s="266">
        <f>AVERAGE(C21:E21)</f>
        <v>47508.739902921741</v>
      </c>
    </row>
    <row r="22" spans="2:6">
      <c r="B22" s="4" t="s">
        <v>180</v>
      </c>
      <c r="C22" s="250">
        <f t="shared" ref="C22:E22" si="2">C21/$F$4-1</f>
        <v>-0.24141294610512265</v>
      </c>
      <c r="D22" s="250">
        <f t="shared" si="2"/>
        <v>-0.27412516134975839</v>
      </c>
      <c r="E22" s="348">
        <f t="shared" si="2"/>
        <v>9.1002865473768457E-2</v>
      </c>
      <c r="F22" s="250">
        <f>F21/$F$4-1</f>
        <v>-0.14151174732703753</v>
      </c>
    </row>
    <row r="23" spans="2:6">
      <c r="C23" s="347"/>
      <c r="D23" s="347"/>
    </row>
    <row r="29" spans="2:6">
      <c r="F29" s="302"/>
    </row>
    <row r="30" spans="2:6">
      <c r="F30" s="302"/>
    </row>
  </sheetData>
  <pageMargins left="0.74803149606299213" right="0.74803149606299213" top="0.98425196850393704" bottom="0.98425196850393704" header="0.51181102362204722" footer="0.51181102362204722"/>
  <pageSetup paperSize="9" scale="63" fitToHeight="4" orientation="landscape" horizontalDpi="4294967292" r:id="rId1"/>
  <headerFooter alignWithMargins="0">
    <oddHeader>&amp;L&amp;F &amp;A</oddHeader>
    <oddFooter>&amp;L© Adkins Matchett &amp; Toy 2017&amp;R &amp;P of &amp;N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D903-117B-4DF0-8D7B-7A5309212F7B}">
  <dimension ref="A1:S22"/>
  <sheetViews>
    <sheetView showGridLines="0" workbookViewId="0">
      <selection activeCell="S22" sqref="S22"/>
    </sheetView>
  </sheetViews>
  <sheetFormatPr defaultColWidth="11.7109375" defaultRowHeight="15"/>
  <cols>
    <col min="1" max="1" width="1.7109375" style="4" customWidth="1"/>
    <col min="2" max="2" width="20.28515625" style="4" bestFit="1" customWidth="1"/>
    <col min="3" max="3" width="0.85546875" style="4" customWidth="1"/>
    <col min="4" max="6" width="12.28515625" style="4" customWidth="1"/>
    <col min="7" max="10" width="9.85546875" style="4" bestFit="1" customWidth="1"/>
    <col min="11" max="16" width="12.28515625" style="4" customWidth="1"/>
    <col min="17" max="18" width="11.7109375" style="4"/>
    <col min="19" max="19" width="12.42578125" style="4" bestFit="1" customWidth="1"/>
    <col min="20" max="16384" width="11.7109375" style="4"/>
  </cols>
  <sheetData>
    <row r="1" spans="1:19" ht="19.5">
      <c r="A1" s="293" t="str">
        <f>CoName</f>
        <v>Fast Retailing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1:19" s="321" customFormat="1">
      <c r="A2" s="320" t="s">
        <v>195</v>
      </c>
      <c r="B2" s="320"/>
      <c r="C2" s="319">
        <v>2021</v>
      </c>
      <c r="D2" s="319">
        <f>C2+1</f>
        <v>2022</v>
      </c>
      <c r="E2" s="319">
        <f t="shared" ref="E2:P2" si="0">D2+1</f>
        <v>2023</v>
      </c>
      <c r="F2" s="319">
        <f t="shared" si="0"/>
        <v>2024</v>
      </c>
      <c r="G2" s="319" t="s">
        <v>201</v>
      </c>
      <c r="H2" s="319" t="s">
        <v>202</v>
      </c>
      <c r="I2" s="319" t="s">
        <v>203</v>
      </c>
      <c r="J2" s="319" t="s">
        <v>205</v>
      </c>
      <c r="K2" s="319">
        <f>F2+1</f>
        <v>2025</v>
      </c>
      <c r="L2" s="319">
        <f t="shared" si="0"/>
        <v>2026</v>
      </c>
      <c r="M2" s="319">
        <f t="shared" si="0"/>
        <v>2027</v>
      </c>
      <c r="N2" s="319">
        <f t="shared" si="0"/>
        <v>2028</v>
      </c>
      <c r="O2" s="319">
        <f t="shared" si="0"/>
        <v>2029</v>
      </c>
      <c r="P2" s="330">
        <f t="shared" si="0"/>
        <v>2030</v>
      </c>
      <c r="Q2" s="330">
        <f t="shared" ref="Q2:S2" si="1">P2+1</f>
        <v>2031</v>
      </c>
      <c r="R2" s="330">
        <f t="shared" si="1"/>
        <v>2032</v>
      </c>
      <c r="S2" s="331">
        <f t="shared" si="1"/>
        <v>2033</v>
      </c>
    </row>
    <row r="3" spans="1:19">
      <c r="A3" s="29"/>
      <c r="B3" s="4" t="s">
        <v>196</v>
      </c>
      <c r="C3" s="4">
        <v>842628</v>
      </c>
      <c r="D3" s="4">
        <v>810261</v>
      </c>
      <c r="E3" s="4">
        <v>890427</v>
      </c>
      <c r="F3" s="29">
        <v>932227</v>
      </c>
      <c r="G3" s="4">
        <v>266602</v>
      </c>
      <c r="H3" s="4">
        <v>24942</v>
      </c>
      <c r="I3" s="4">
        <v>259876</v>
      </c>
      <c r="J3" s="29">
        <v>224674</v>
      </c>
      <c r="K3" s="316">
        <v>1026096</v>
      </c>
      <c r="L3" s="316">
        <f>K3*(1+L4)</f>
        <v>1079494.9535985703</v>
      </c>
      <c r="M3" s="316">
        <f t="shared" ref="M3:P3" si="2">L3*(1+M4)</f>
        <v>1135672.8365033872</v>
      </c>
      <c r="N3" s="316">
        <f t="shared" si="2"/>
        <v>1194774.2666810714</v>
      </c>
      <c r="O3" s="316">
        <f t="shared" si="2"/>
        <v>1256951.388146576</v>
      </c>
      <c r="P3" s="316">
        <f t="shared" si="2"/>
        <v>1322364.2626254724</v>
      </c>
      <c r="Q3" s="316">
        <f t="shared" ref="Q3" si="3">P3*(1+Q4)</f>
        <v>1391181.2815986925</v>
      </c>
      <c r="R3" s="316">
        <f t="shared" ref="R3" si="4">Q3*(1+R4)</f>
        <v>1463579.5997904486</v>
      </c>
      <c r="S3" s="29">
        <f t="shared" ref="S3" si="5">R3*(1+S4)</f>
        <v>1539745.5912152512</v>
      </c>
    </row>
    <row r="4" spans="1:19" s="45" customFormat="1">
      <c r="A4" s="46"/>
      <c r="B4" s="45" t="s">
        <v>200</v>
      </c>
      <c r="D4" s="45">
        <f>D3/C3-1</f>
        <v>-3.8411968270695929E-2</v>
      </c>
      <c r="E4" s="45">
        <f t="shared" ref="E4" si="6">E3/D3-1</f>
        <v>9.8938490190197959E-2</v>
      </c>
      <c r="F4" s="46">
        <f t="shared" ref="F4" si="7">F3/E3-1</f>
        <v>4.6943769674549385E-2</v>
      </c>
      <c r="J4" s="46"/>
      <c r="K4" s="325">
        <f t="shared" ref="K4" si="8">K3/F3-1</f>
        <v>0.10069328607731798</v>
      </c>
      <c r="L4" s="326">
        <f>AVERAGE(K4,D4:F4)</f>
        <v>5.2040894417842348E-2</v>
      </c>
      <c r="M4" s="326">
        <f t="shared" ref="M4:P13" si="9">L4</f>
        <v>5.2040894417842348E-2</v>
      </c>
      <c r="N4" s="326">
        <f t="shared" si="9"/>
        <v>5.2040894417842348E-2</v>
      </c>
      <c r="O4" s="326">
        <f t="shared" si="9"/>
        <v>5.2040894417842348E-2</v>
      </c>
      <c r="P4" s="326">
        <f t="shared" si="9"/>
        <v>5.2040894417842348E-2</v>
      </c>
      <c r="Q4" s="326">
        <f t="shared" ref="Q4:S4" si="10">P4</f>
        <v>5.2040894417842348E-2</v>
      </c>
      <c r="R4" s="326">
        <f t="shared" si="10"/>
        <v>5.2040894417842348E-2</v>
      </c>
      <c r="S4" s="327">
        <f t="shared" si="10"/>
        <v>5.2040894417842348E-2</v>
      </c>
    </row>
    <row r="5" spans="1:19" s="45" customFormat="1">
      <c r="A5" s="46"/>
      <c r="B5" s="45" t="s">
        <v>225</v>
      </c>
      <c r="D5" s="45">
        <f>D3/$D$15</f>
        <v>0.35255702078241574</v>
      </c>
      <c r="E5" s="45">
        <f>E3/$E$15</f>
        <v>0.32209740401849907</v>
      </c>
      <c r="F5" s="46">
        <f>F3/$F$15</f>
        <v>0.3005187844589674</v>
      </c>
      <c r="J5" s="46"/>
      <c r="K5" s="325">
        <f>K3/$K$15</f>
        <v>0.30191477266708799</v>
      </c>
      <c r="L5" s="326"/>
      <c r="M5" s="326"/>
      <c r="N5" s="326"/>
      <c r="O5" s="326"/>
      <c r="P5" s="326"/>
      <c r="Q5" s="326"/>
      <c r="R5" s="326"/>
      <c r="S5" s="327"/>
    </row>
    <row r="6" spans="1:19">
      <c r="A6" s="29"/>
      <c r="B6" s="4" t="s">
        <v>197</v>
      </c>
      <c r="C6" s="4">
        <v>930151</v>
      </c>
      <c r="D6" s="4">
        <v>1118763</v>
      </c>
      <c r="E6" s="4">
        <v>1437147</v>
      </c>
      <c r="F6" s="29">
        <v>1711833</v>
      </c>
      <c r="G6" s="4">
        <v>501767</v>
      </c>
      <c r="H6" s="4">
        <v>512388</v>
      </c>
      <c r="I6" s="4">
        <v>442979</v>
      </c>
      <c r="J6" s="29">
        <v>453153</v>
      </c>
      <c r="K6" s="316">
        <v>1910289</v>
      </c>
      <c r="L6" s="316">
        <f>K6*(1+L7)</f>
        <v>2131752.3750979211</v>
      </c>
      <c r="M6" s="316">
        <f t="shared" ref="M6" si="11">L6*(1+M7)</f>
        <v>2378890.4133016672</v>
      </c>
      <c r="N6" s="316">
        <f t="shared" ref="N6" si="12">M6*(1+N7)</f>
        <v>2654679.6263044518</v>
      </c>
      <c r="O6" s="316">
        <f t="shared" ref="O6" si="13">N6*(1+O7)</f>
        <v>2962441.5983647383</v>
      </c>
      <c r="P6" s="316">
        <f t="shared" ref="P6" si="14">O6*(1+P7)</f>
        <v>3305882.9912138493</v>
      </c>
      <c r="Q6" s="316">
        <f t="shared" ref="Q6" si="15">P6*(1+Q7)</f>
        <v>3689140.1868073069</v>
      </c>
      <c r="R6" s="316">
        <f t="shared" ref="R6" si="16">Q6*(1+R7)</f>
        <v>4116829.1055937954</v>
      </c>
      <c r="S6" s="29">
        <f t="shared" ref="S6" si="17">R6*(1+S7)</f>
        <v>4594100.8003091803</v>
      </c>
    </row>
    <row r="7" spans="1:19" s="45" customFormat="1">
      <c r="A7" s="46"/>
      <c r="B7" s="45" t="s">
        <v>200</v>
      </c>
      <c r="D7" s="45">
        <f>D6/C6-1</f>
        <v>0.20277567835760002</v>
      </c>
      <c r="E7" s="45">
        <f t="shared" ref="E7" si="18">E6/D6-1</f>
        <v>0.28458574336119447</v>
      </c>
      <c r="F7" s="46">
        <f t="shared" ref="F7" si="19">F6/E6-1</f>
        <v>0.19113284862300106</v>
      </c>
      <c r="J7" s="46"/>
      <c r="K7" s="325">
        <f t="shared" ref="K7" si="20">K6/F6-1</f>
        <v>0.11593186952231904</v>
      </c>
      <c r="L7" s="326">
        <f>K7</f>
        <v>0.11593186952231904</v>
      </c>
      <c r="M7" s="326">
        <f t="shared" ref="M7:S7" si="21">L7</f>
        <v>0.11593186952231904</v>
      </c>
      <c r="N7" s="326">
        <f t="shared" si="21"/>
        <v>0.11593186952231904</v>
      </c>
      <c r="O7" s="326">
        <f t="shared" si="21"/>
        <v>0.11593186952231904</v>
      </c>
      <c r="P7" s="326">
        <f t="shared" si="21"/>
        <v>0.11593186952231904</v>
      </c>
      <c r="Q7" s="326">
        <f t="shared" si="21"/>
        <v>0.11593186952231904</v>
      </c>
      <c r="R7" s="326">
        <f t="shared" si="21"/>
        <v>0.11593186952231904</v>
      </c>
      <c r="S7" s="327">
        <f t="shared" si="21"/>
        <v>0.11593186952231904</v>
      </c>
    </row>
    <row r="8" spans="1:19" s="45" customFormat="1">
      <c r="A8" s="46"/>
      <c r="B8" s="45" t="s">
        <v>225</v>
      </c>
      <c r="D8" s="45">
        <f>D6/$D$15</f>
        <v>0.48679098493151934</v>
      </c>
      <c r="E8" s="45">
        <f>E6/$E$15</f>
        <v>0.51986442222997942</v>
      </c>
      <c r="F8" s="46">
        <f>F6/$F$15</f>
        <v>0.55183766653052058</v>
      </c>
      <c r="J8" s="46"/>
      <c r="K8" s="325">
        <f>K6/$K$15</f>
        <v>0.56207652028995225</v>
      </c>
      <c r="L8" s="326"/>
      <c r="M8" s="326"/>
      <c r="N8" s="326"/>
      <c r="O8" s="326"/>
      <c r="P8" s="326"/>
      <c r="Q8" s="326"/>
      <c r="R8" s="326"/>
      <c r="S8" s="327"/>
    </row>
    <row r="9" spans="1:19">
      <c r="A9" s="29"/>
      <c r="B9" s="4" t="s">
        <v>198</v>
      </c>
      <c r="C9" s="4">
        <v>249438</v>
      </c>
      <c r="D9" s="4">
        <v>246055</v>
      </c>
      <c r="E9" s="4">
        <v>295206</v>
      </c>
      <c r="F9" s="29">
        <v>319162</v>
      </c>
      <c r="G9" s="4">
        <v>90610</v>
      </c>
      <c r="H9" s="4">
        <v>75233</v>
      </c>
      <c r="I9" s="4">
        <v>90443</v>
      </c>
      <c r="J9" s="29">
        <v>74413</v>
      </c>
      <c r="K9" s="316">
        <v>330701</v>
      </c>
      <c r="L9" s="316">
        <f>K9*(1+L10)</f>
        <v>396841.2</v>
      </c>
      <c r="M9" s="316">
        <f t="shared" ref="M9" si="22">L9*(1+M10)</f>
        <v>476209.44</v>
      </c>
      <c r="N9" s="316">
        <f t="shared" ref="N9" si="23">M9*(1+N10)</f>
        <v>571451.32799999998</v>
      </c>
      <c r="O9" s="316">
        <f t="shared" ref="O9" si="24">N9*(1+O10)</f>
        <v>685741.59359999991</v>
      </c>
      <c r="P9" s="316">
        <f t="shared" ref="P9" si="25">O9*(1+P10)</f>
        <v>822889.91231999989</v>
      </c>
      <c r="Q9" s="316">
        <f t="shared" ref="Q9" si="26">P9*(1+Q10)</f>
        <v>987467.89478399977</v>
      </c>
      <c r="R9" s="316">
        <f t="shared" ref="R9" si="27">Q9*(1+R10)</f>
        <v>1184961.4737407996</v>
      </c>
      <c r="S9" s="29">
        <f t="shared" ref="S9" si="28">R9*(1+S10)</f>
        <v>1421953.7684889594</v>
      </c>
    </row>
    <row r="10" spans="1:19" s="45" customFormat="1">
      <c r="A10" s="46"/>
      <c r="B10" s="45" t="s">
        <v>200</v>
      </c>
      <c r="D10" s="45">
        <f>D9/C9-1</f>
        <v>-1.3562488474089807E-2</v>
      </c>
      <c r="E10" s="45">
        <f t="shared" ref="E10" si="29">E9/D9-1</f>
        <v>0.19975615207981945</v>
      </c>
      <c r="F10" s="46">
        <f t="shared" ref="F10" si="30">F9/E9-1</f>
        <v>8.1150112125092377E-2</v>
      </c>
      <c r="J10" s="46"/>
      <c r="K10" s="325">
        <f t="shared" ref="K10" si="31">K9/F9-1</f>
        <v>3.6154053427412958E-2</v>
      </c>
      <c r="L10" s="326">
        <v>0.2</v>
      </c>
      <c r="M10" s="326">
        <f>L10</f>
        <v>0.2</v>
      </c>
      <c r="N10" s="326">
        <f t="shared" ref="N10:S10" si="32">M10</f>
        <v>0.2</v>
      </c>
      <c r="O10" s="326">
        <f t="shared" si="32"/>
        <v>0.2</v>
      </c>
      <c r="P10" s="326">
        <f t="shared" si="32"/>
        <v>0.2</v>
      </c>
      <c r="Q10" s="326">
        <f t="shared" si="32"/>
        <v>0.2</v>
      </c>
      <c r="R10" s="326">
        <f t="shared" si="32"/>
        <v>0.2</v>
      </c>
      <c r="S10" s="326">
        <f t="shared" si="32"/>
        <v>0.2</v>
      </c>
    </row>
    <row r="11" spans="1:19" s="45" customFormat="1">
      <c r="A11" s="46"/>
      <c r="B11" s="45" t="s">
        <v>225</v>
      </c>
      <c r="D11" s="45">
        <f>D9/$D$15</f>
        <v>0.10706231417853915</v>
      </c>
      <c r="E11" s="45">
        <f>E9/$E$15</f>
        <v>0.10678594230710101</v>
      </c>
      <c r="F11" s="46">
        <f>F9/$F$15</f>
        <v>0.10288714689179027</v>
      </c>
      <c r="J11" s="46"/>
      <c r="K11" s="325">
        <f>K9/$K$15</f>
        <v>9.730426513287127E-2</v>
      </c>
      <c r="L11" s="326"/>
      <c r="M11" s="326"/>
      <c r="N11" s="326"/>
      <c r="O11" s="326"/>
      <c r="P11" s="326"/>
      <c r="Q11" s="326"/>
      <c r="R11" s="326"/>
      <c r="S11" s="326"/>
    </row>
    <row r="12" spans="1:19">
      <c r="A12" s="29"/>
      <c r="B12" s="4" t="s">
        <v>199</v>
      </c>
      <c r="C12" s="4">
        <v>108204</v>
      </c>
      <c r="D12" s="4">
        <v>123162</v>
      </c>
      <c r="E12" s="4">
        <v>141685</v>
      </c>
      <c r="F12" s="29">
        <v>138837</v>
      </c>
      <c r="G12" s="4">
        <v>35051</v>
      </c>
      <c r="H12" s="4">
        <v>35794</v>
      </c>
      <c r="I12" s="4">
        <v>31998</v>
      </c>
      <c r="J12" s="29">
        <v>32794</v>
      </c>
      <c r="K12" s="316">
        <v>131542</v>
      </c>
      <c r="L12" s="316">
        <f>K12*(1+L13)</f>
        <v>138644.93052459421</v>
      </c>
      <c r="M12" s="316">
        <f t="shared" ref="M12" si="33">L12*(1+M13)</f>
        <v>146131.40107471039</v>
      </c>
      <c r="N12" s="316">
        <f t="shared" ref="N12" si="34">M12*(1+N13)</f>
        <v>154022.12182774197</v>
      </c>
      <c r="O12" s="316">
        <f t="shared" ref="O12" si="35">N12*(1+O13)</f>
        <v>162338.92125752891</v>
      </c>
      <c r="P12" s="316">
        <f t="shared" ref="P12" si="36">O12*(1+P13)</f>
        <v>171104.80651949692</v>
      </c>
      <c r="Q12" s="316">
        <f t="shared" ref="Q12" si="37">P12*(1+Q13)</f>
        <v>180344.02709643904</v>
      </c>
      <c r="R12" s="316">
        <f t="shared" ref="R12" si="38">Q12*(1+R13)</f>
        <v>190082.14188100625</v>
      </c>
      <c r="S12" s="29">
        <f t="shared" ref="S12" si="39">R12*(1+S13)</f>
        <v>200346.08988048052</v>
      </c>
    </row>
    <row r="13" spans="1:19" s="45" customFormat="1">
      <c r="A13" s="46"/>
      <c r="B13" s="45" t="s">
        <v>200</v>
      </c>
      <c r="D13" s="45">
        <f>D12/C12-1</f>
        <v>0.13823888211156699</v>
      </c>
      <c r="E13" s="45">
        <f t="shared" ref="E13" si="40">E12/D12-1</f>
        <v>0.15039541416995506</v>
      </c>
      <c r="F13" s="46">
        <f t="shared" ref="F13" si="41">F12/E12-1</f>
        <v>-2.0100928115185046E-2</v>
      </c>
      <c r="J13" s="46"/>
      <c r="K13" s="325">
        <f t="shared" ref="K13" si="42">K12/F12-1</f>
        <v>-5.2543630300280197E-2</v>
      </c>
      <c r="L13" s="326">
        <f>AVERAGE(K13,D13:F13)</f>
        <v>5.3997434466514199E-2</v>
      </c>
      <c r="M13" s="326">
        <f t="shared" si="9"/>
        <v>5.3997434466514199E-2</v>
      </c>
      <c r="N13" s="326">
        <f t="shared" si="9"/>
        <v>5.3997434466514199E-2</v>
      </c>
      <c r="O13" s="326">
        <f t="shared" si="9"/>
        <v>5.3997434466514199E-2</v>
      </c>
      <c r="P13" s="326">
        <f t="shared" si="9"/>
        <v>5.3997434466514199E-2</v>
      </c>
      <c r="Q13" s="326">
        <f t="shared" ref="Q13:S13" si="43">P13</f>
        <v>5.3997434466514199E-2</v>
      </c>
      <c r="R13" s="326">
        <f t="shared" si="43"/>
        <v>5.3997434466514199E-2</v>
      </c>
      <c r="S13" s="327">
        <f t="shared" si="43"/>
        <v>5.3997434466514199E-2</v>
      </c>
    </row>
    <row r="14" spans="1:19" s="45" customFormat="1">
      <c r="A14" s="46"/>
      <c r="B14" s="45" t="s">
        <v>225</v>
      </c>
      <c r="D14" s="45">
        <f>D12/$D$15</f>
        <v>5.3589680107525711E-2</v>
      </c>
      <c r="E14" s="45">
        <f>E12/$E$15</f>
        <v>5.125223144442053E-2</v>
      </c>
      <c r="F14" s="46">
        <f>F12/$F$15</f>
        <v>4.475640211872179E-2</v>
      </c>
      <c r="J14" s="46"/>
      <c r="K14" s="325">
        <f>K12/$K$15</f>
        <v>3.8704441910088427E-2</v>
      </c>
      <c r="L14" s="326"/>
      <c r="M14" s="326"/>
      <c r="N14" s="326"/>
      <c r="O14" s="326"/>
      <c r="P14" s="326"/>
      <c r="Q14" s="326"/>
      <c r="R14" s="326"/>
      <c r="S14" s="327"/>
    </row>
    <row r="15" spans="1:19" s="11" customFormat="1">
      <c r="A15" s="26"/>
      <c r="B15" s="11" t="s">
        <v>204</v>
      </c>
      <c r="C15" s="11">
        <f>SUM(C12,C9,C6,C3)</f>
        <v>2130421</v>
      </c>
      <c r="D15" s="11">
        <f t="shared" ref="D15:P15" si="44">SUM(D12,D9,D6,D3)</f>
        <v>2298241</v>
      </c>
      <c r="E15" s="11">
        <f t="shared" si="44"/>
        <v>2764465</v>
      </c>
      <c r="F15" s="26">
        <f t="shared" si="44"/>
        <v>3102059</v>
      </c>
      <c r="G15" s="322">
        <f t="shared" si="44"/>
        <v>894030</v>
      </c>
      <c r="H15" s="322">
        <f t="shared" si="44"/>
        <v>648357</v>
      </c>
      <c r="I15" s="322">
        <f t="shared" si="44"/>
        <v>825296</v>
      </c>
      <c r="J15" s="26">
        <f t="shared" si="44"/>
        <v>785034</v>
      </c>
      <c r="K15" s="322">
        <f t="shared" si="44"/>
        <v>3398628</v>
      </c>
      <c r="L15" s="322">
        <f t="shared" si="44"/>
        <v>3746733.4592210855</v>
      </c>
      <c r="M15" s="11">
        <f t="shared" si="44"/>
        <v>4136904.0908797644</v>
      </c>
      <c r="N15" s="11">
        <f t="shared" si="44"/>
        <v>4574927.3428132646</v>
      </c>
      <c r="O15" s="11">
        <f t="shared" si="44"/>
        <v>5067473.501368843</v>
      </c>
      <c r="P15" s="322">
        <f t="shared" si="44"/>
        <v>5622241.9726788187</v>
      </c>
      <c r="Q15" s="322">
        <f t="shared" ref="Q15:S15" si="45">SUM(Q12,Q9,Q6,Q3)</f>
        <v>6248133.3902864382</v>
      </c>
      <c r="R15" s="322">
        <f t="shared" si="45"/>
        <v>6955452.3210060494</v>
      </c>
      <c r="S15" s="26">
        <f t="shared" si="45"/>
        <v>7756146.2498938711</v>
      </c>
    </row>
    <row r="16" spans="1:19" s="32" customFormat="1">
      <c r="A16" s="41"/>
      <c r="B16" s="328" t="s">
        <v>200</v>
      </c>
      <c r="C16" s="328"/>
      <c r="D16" s="325">
        <f>D15/C15-1</f>
        <v>7.8773162675358499E-2</v>
      </c>
      <c r="E16" s="325">
        <f t="shared" ref="E16:L16" si="46">E15/D15-1</f>
        <v>0.20286123169850323</v>
      </c>
      <c r="F16" s="325">
        <f t="shared" si="46"/>
        <v>0.12211910803717907</v>
      </c>
      <c r="G16" s="329"/>
      <c r="H16" s="329"/>
      <c r="I16" s="329"/>
      <c r="J16" s="329"/>
      <c r="K16" s="325">
        <f>K15/F15-1</f>
        <v>9.5603919848075147E-2</v>
      </c>
      <c r="L16" s="325">
        <f t="shared" si="46"/>
        <v>0.10242529021154589</v>
      </c>
      <c r="M16" s="325">
        <f t="shared" ref="M16" si="47">M15/L15-1</f>
        <v>0.10413621249155858</v>
      </c>
      <c r="N16" s="325">
        <f t="shared" ref="N16" si="48">N15/M15-1</f>
        <v>0.10588189677860016</v>
      </c>
      <c r="O16" s="325">
        <f t="shared" ref="O16" si="49">O15/N15-1</f>
        <v>0.10766207234510894</v>
      </c>
      <c r="P16" s="325">
        <f t="shared" ref="P16" si="50">P15/O15-1</f>
        <v>0.10947634381514182</v>
      </c>
      <c r="Q16" s="325">
        <f t="shared" ref="Q16" si="51">Q15/P15-1</f>
        <v>0.11132416937035572</v>
      </c>
      <c r="R16" s="325">
        <f t="shared" ref="R16" si="52">R15/Q15-1</f>
        <v>0.11320483839529305</v>
      </c>
      <c r="S16" s="46">
        <f t="shared" ref="S16" si="53">S15/R15-1</f>
        <v>0.11511744915131672</v>
      </c>
    </row>
    <row r="17" spans="2:19"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</row>
    <row r="21" spans="2:19" ht="16.5">
      <c r="B21" s="333" t="s">
        <v>50</v>
      </c>
      <c r="C21" s="334">
        <v>1142971</v>
      </c>
      <c r="D21" s="334">
        <v>1382935</v>
      </c>
      <c r="E21" s="334">
        <v>1681781</v>
      </c>
      <c r="F21" s="334">
        <v>1786473</v>
      </c>
      <c r="G21" s="334">
        <v>1861917</v>
      </c>
      <c r="H21" s="334">
        <v>2130060</v>
      </c>
      <c r="I21" s="335">
        <v>2290548</v>
      </c>
      <c r="J21" s="335">
        <v>2008846</v>
      </c>
      <c r="K21" s="335">
        <v>2132992</v>
      </c>
      <c r="L21" s="335">
        <v>2301122</v>
      </c>
      <c r="M21" s="335">
        <v>2766557</v>
      </c>
      <c r="N21" s="335">
        <v>3103836</v>
      </c>
      <c r="O21" s="335">
        <v>3400539</v>
      </c>
    </row>
    <row r="22" spans="2:19">
      <c r="D22" s="208">
        <f t="shared" ref="D22:N22" si="54">D21/C21-1</f>
        <v>0.20994758397194691</v>
      </c>
      <c r="E22" s="208">
        <f t="shared" si="54"/>
        <v>0.21609547809549978</v>
      </c>
      <c r="F22" s="208">
        <f t="shared" si="54"/>
        <v>6.2250673541917712E-2</v>
      </c>
      <c r="G22" s="208">
        <f t="shared" si="54"/>
        <v>4.2230697021449437E-2</v>
      </c>
      <c r="H22" s="208">
        <f t="shared" si="54"/>
        <v>0.14401447540357593</v>
      </c>
      <c r="I22" s="208">
        <f t="shared" si="54"/>
        <v>7.5344356496999998E-2</v>
      </c>
      <c r="J22" s="208">
        <f t="shared" si="54"/>
        <v>-0.12298454343676712</v>
      </c>
      <c r="K22" s="208">
        <f t="shared" si="54"/>
        <v>6.1799660103362797E-2</v>
      </c>
      <c r="L22" s="208">
        <f t="shared" si="54"/>
        <v>7.882354926788282E-2</v>
      </c>
      <c r="M22" s="208">
        <f t="shared" si="54"/>
        <v>0.20226437364033711</v>
      </c>
      <c r="N22" s="208">
        <f t="shared" si="54"/>
        <v>0.12191290474044081</v>
      </c>
      <c r="O22" s="208">
        <f>O21/N21-1</f>
        <v>9.5592357328157851E-2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3EAE-403E-4C0C-9BD0-952BD6AF5DF0}">
  <sheetPr codeName="Sheet6"/>
  <dimension ref="A1:W59"/>
  <sheetViews>
    <sheetView showGridLines="0" zoomScaleNormal="100" workbookViewId="0">
      <selection activeCell="D5" sqref="D5"/>
    </sheetView>
  </sheetViews>
  <sheetFormatPr defaultColWidth="9" defaultRowHeight="15"/>
  <cols>
    <col min="1" max="1" width="2.28515625" style="4" customWidth="1"/>
    <col min="2" max="2" width="36.42578125" style="4" bestFit="1" customWidth="1"/>
    <col min="3" max="13" width="11.7109375" style="4" customWidth="1"/>
    <col min="14" max="14" width="11.42578125" style="4" customWidth="1"/>
    <col min="15" max="15" width="21.42578125" style="4" bestFit="1" customWidth="1"/>
    <col min="16" max="23" width="11.42578125" style="4" customWidth="1"/>
    <col min="24" max="16384" width="9" style="4"/>
  </cols>
  <sheetData>
    <row r="1" spans="1:23" ht="19.5">
      <c r="A1" s="293" t="str">
        <f>CoName</f>
        <v>Fast Retailing</v>
      </c>
      <c r="B1" s="3"/>
      <c r="C1" s="43" t="s">
        <v>0</v>
      </c>
      <c r="D1" s="43" t="s">
        <v>0</v>
      </c>
      <c r="E1" s="43" t="s">
        <v>0</v>
      </c>
      <c r="F1" s="43" t="s">
        <v>1</v>
      </c>
      <c r="G1" s="43" t="s">
        <v>1</v>
      </c>
      <c r="H1" s="43" t="s">
        <v>1</v>
      </c>
      <c r="I1" s="43" t="s">
        <v>1</v>
      </c>
      <c r="J1" s="43" t="s">
        <v>1</v>
      </c>
      <c r="K1" s="43" t="s">
        <v>1</v>
      </c>
      <c r="L1" s="43" t="s">
        <v>1</v>
      </c>
      <c r="M1" s="43" t="s">
        <v>1</v>
      </c>
      <c r="N1" s="43"/>
      <c r="O1" s="43"/>
    </row>
    <row r="2" spans="1:23">
      <c r="A2" s="66" t="s">
        <v>125</v>
      </c>
      <c r="B2" s="108" t="s">
        <v>126</v>
      </c>
      <c r="C2" s="212">
        <v>2023</v>
      </c>
      <c r="D2" s="212">
        <v>2024</v>
      </c>
      <c r="E2" s="212">
        <v>2025</v>
      </c>
      <c r="F2" s="212">
        <v>2026</v>
      </c>
      <c r="G2" s="212">
        <v>2027</v>
      </c>
      <c r="H2" s="212">
        <v>2028</v>
      </c>
      <c r="I2" s="212">
        <v>2029</v>
      </c>
      <c r="J2" s="212">
        <v>2030</v>
      </c>
      <c r="K2" s="212">
        <v>2031</v>
      </c>
      <c r="L2" s="212">
        <v>2032</v>
      </c>
      <c r="M2" s="212">
        <v>2033</v>
      </c>
      <c r="N2" s="214"/>
      <c r="O2" s="214"/>
    </row>
    <row r="3" spans="1:23">
      <c r="A3" s="87"/>
      <c r="B3" s="166"/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</row>
    <row r="4" spans="1:23">
      <c r="B4" s="95" t="s">
        <v>133</v>
      </c>
      <c r="C4"/>
      <c r="D4" s="298">
        <v>1</v>
      </c>
      <c r="E4"/>
      <c r="F4"/>
      <c r="G4" s="90"/>
      <c r="H4" s="90"/>
      <c r="I4" s="90"/>
      <c r="J4" s="90"/>
      <c r="K4" s="90"/>
      <c r="L4" s="90"/>
      <c r="M4" s="90"/>
      <c r="N4" s="90"/>
      <c r="P4" s="267"/>
      <c r="Q4" s="268"/>
      <c r="R4" s="268"/>
    </row>
    <row r="5" spans="1:23">
      <c r="B5" s="89"/>
      <c r="C5" s="91"/>
      <c r="D5" s="115" t="s">
        <v>127</v>
      </c>
      <c r="E5" s="92"/>
      <c r="N5" s="90"/>
      <c r="P5" s="269"/>
      <c r="Q5" s="270"/>
      <c r="R5" s="270"/>
    </row>
    <row r="6" spans="1:23">
      <c r="B6" s="93" t="s">
        <v>134</v>
      </c>
      <c r="D6" s="102">
        <v>0</v>
      </c>
      <c r="E6" s="94"/>
      <c r="F6" s="102">
        <f>Revenue!L16</f>
        <v>0.10242529021154589</v>
      </c>
      <c r="G6" s="102">
        <f>Revenue!M16</f>
        <v>0.10413621249155858</v>
      </c>
      <c r="H6" s="102">
        <f>Revenue!N16</f>
        <v>0.10588189677860016</v>
      </c>
      <c r="I6" s="102">
        <f>Revenue!O16</f>
        <v>0.10766207234510894</v>
      </c>
      <c r="J6" s="102">
        <f>Revenue!P16</f>
        <v>0.10947634381514182</v>
      </c>
      <c r="K6" s="102">
        <f>Revenue!Q16</f>
        <v>0.11132416937035572</v>
      </c>
      <c r="L6" s="102">
        <f>Revenue!R16</f>
        <v>0.11320483839529305</v>
      </c>
      <c r="M6" s="102">
        <f>Revenue!S16</f>
        <v>0.11511744915131672</v>
      </c>
      <c r="N6" s="187"/>
      <c r="P6" s="187"/>
      <c r="Q6" s="271"/>
      <c r="R6" s="271"/>
      <c r="S6" s="271"/>
      <c r="T6" s="271"/>
      <c r="U6" s="271"/>
      <c r="V6" s="271"/>
      <c r="W6" s="271"/>
    </row>
    <row r="7" spans="1:23">
      <c r="B7" s="4" t="s">
        <v>129</v>
      </c>
      <c r="D7" s="102">
        <v>0.03</v>
      </c>
      <c r="E7" s="94"/>
      <c r="F7" s="102">
        <f>F6+$D$7</f>
        <v>0.13242529021154589</v>
      </c>
      <c r="G7" s="102">
        <f t="shared" ref="G7:M7" si="0">G6+$D$7</f>
        <v>0.13413621249155858</v>
      </c>
      <c r="H7" s="102">
        <f t="shared" si="0"/>
        <v>0.13588189677860016</v>
      </c>
      <c r="I7" s="102">
        <f t="shared" si="0"/>
        <v>0.13766207234510894</v>
      </c>
      <c r="J7" s="102">
        <f t="shared" si="0"/>
        <v>0.13947634381514182</v>
      </c>
      <c r="K7" s="102">
        <f t="shared" si="0"/>
        <v>0.14132416937035572</v>
      </c>
      <c r="L7" s="102">
        <f t="shared" si="0"/>
        <v>0.14320483839529305</v>
      </c>
      <c r="M7" s="102">
        <f t="shared" si="0"/>
        <v>0.14511744915131672</v>
      </c>
      <c r="N7" s="187"/>
      <c r="P7" s="187"/>
      <c r="Q7" s="187"/>
      <c r="R7" s="187"/>
      <c r="S7" s="187"/>
      <c r="T7" s="187"/>
      <c r="U7" s="187"/>
      <c r="V7" s="187"/>
      <c r="W7" s="187"/>
    </row>
    <row r="8" spans="1:23">
      <c r="B8" s="4" t="s">
        <v>128</v>
      </c>
      <c r="D8" s="102">
        <v>-0.03</v>
      </c>
      <c r="E8" s="94"/>
      <c r="F8" s="102">
        <f>F6+$D$8</f>
        <v>7.2425290211545895E-2</v>
      </c>
      <c r="G8" s="102">
        <f t="shared" ref="G8:M8" si="1">G6+$D$8</f>
        <v>7.4136212491558579E-2</v>
      </c>
      <c r="H8" s="102">
        <f t="shared" si="1"/>
        <v>7.5881896778600161E-2</v>
      </c>
      <c r="I8" s="102">
        <f t="shared" si="1"/>
        <v>7.766207234510894E-2</v>
      </c>
      <c r="J8" s="102">
        <f t="shared" si="1"/>
        <v>7.947634381514182E-2</v>
      </c>
      <c r="K8" s="102">
        <f t="shared" si="1"/>
        <v>8.132416937035572E-2</v>
      </c>
      <c r="L8" s="102">
        <f t="shared" si="1"/>
        <v>8.3204838395293051E-2</v>
      </c>
      <c r="M8" s="102">
        <f t="shared" si="1"/>
        <v>8.5117449151316721E-2</v>
      </c>
      <c r="N8" s="187"/>
    </row>
    <row r="9" spans="1:23">
      <c r="N9" s="32"/>
      <c r="O9" s="32"/>
      <c r="P9" s="187"/>
      <c r="Q9" s="187"/>
    </row>
    <row r="10" spans="1:23">
      <c r="B10" s="121" t="s">
        <v>151</v>
      </c>
      <c r="C10" s="208">
        <f>Revenue!E16</f>
        <v>0.20286123169850323</v>
      </c>
      <c r="D10" s="208">
        <f>Revenue!F16</f>
        <v>0.12211910803717907</v>
      </c>
      <c r="E10" s="209">
        <f>Revenue!K16</f>
        <v>9.5603919848075147E-2</v>
      </c>
      <c r="F10" s="106">
        <f t="shared" ref="F10" si="2">CHOOSE(ScenarioREV,F6,F7,F8)</f>
        <v>0.10242529021154589</v>
      </c>
      <c r="G10" s="106">
        <f t="shared" ref="G10:M10" si="3">CHOOSE(ScenarioREV,G6,G7,G8)</f>
        <v>0.10413621249155858</v>
      </c>
      <c r="H10" s="106">
        <f t="shared" si="3"/>
        <v>0.10588189677860016</v>
      </c>
      <c r="I10" s="106">
        <f t="shared" si="3"/>
        <v>0.10766207234510894</v>
      </c>
      <c r="J10" s="106">
        <f t="shared" si="3"/>
        <v>0.10947634381514182</v>
      </c>
      <c r="K10" s="106">
        <f t="shared" si="3"/>
        <v>0.11132416937035572</v>
      </c>
      <c r="L10" s="106">
        <f t="shared" si="3"/>
        <v>0.11320483839529305</v>
      </c>
      <c r="M10" s="106">
        <f t="shared" si="3"/>
        <v>0.11511744915131672</v>
      </c>
      <c r="N10" s="31"/>
      <c r="O10" s="31"/>
      <c r="P10" s="187"/>
      <c r="Q10" s="187"/>
    </row>
    <row r="11" spans="1:23">
      <c r="B11" s="4" t="s">
        <v>135</v>
      </c>
      <c r="C11" s="310">
        <f>IncState!C17/IncState!C16</f>
        <v>0.48081279366374885</v>
      </c>
      <c r="D11" s="310">
        <f>IncState!D17/IncState!D16</f>
        <v>0.46096636549096021</v>
      </c>
      <c r="E11" s="311">
        <f>IncState!E17/IncState!E16</f>
        <v>0.46218584759651338</v>
      </c>
      <c r="F11" s="102">
        <f>E11</f>
        <v>0.46218584759651338</v>
      </c>
      <c r="G11" s="102">
        <f t="shared" ref="G11:M11" si="4">F11</f>
        <v>0.46218584759651338</v>
      </c>
      <c r="H11" s="102">
        <f t="shared" si="4"/>
        <v>0.46218584759651338</v>
      </c>
      <c r="I11" s="102">
        <f t="shared" si="4"/>
        <v>0.46218584759651338</v>
      </c>
      <c r="J11" s="102">
        <f t="shared" si="4"/>
        <v>0.46218584759651338</v>
      </c>
      <c r="K11" s="102">
        <f t="shared" si="4"/>
        <v>0.46218584759651338</v>
      </c>
      <c r="L11" s="102">
        <f t="shared" si="4"/>
        <v>0.46218584759651338</v>
      </c>
      <c r="M11" s="102">
        <f t="shared" si="4"/>
        <v>0.46218584759651338</v>
      </c>
      <c r="N11" s="187"/>
      <c r="O11" s="187"/>
      <c r="P11" s="187"/>
      <c r="Q11" s="187"/>
    </row>
    <row r="12" spans="1:23">
      <c r="B12" s="4" t="s">
        <v>44</v>
      </c>
      <c r="C12" s="310">
        <f>IncState!C18/IncState!C16</f>
        <v>0.38110908251664433</v>
      </c>
      <c r="D12" s="310">
        <f>IncState!D18/IncState!D16</f>
        <v>0.38265971526846138</v>
      </c>
      <c r="E12" s="311">
        <f>IncState!E18/IncState!E16</f>
        <v>0.37573484674047264</v>
      </c>
      <c r="F12" s="102">
        <f>E12</f>
        <v>0.37573484674047264</v>
      </c>
      <c r="G12" s="102">
        <f t="shared" ref="G12:M12" si="5">F12</f>
        <v>0.37573484674047264</v>
      </c>
      <c r="H12" s="102">
        <f t="shared" si="5"/>
        <v>0.37573484674047264</v>
      </c>
      <c r="I12" s="102">
        <f t="shared" si="5"/>
        <v>0.37573484674047264</v>
      </c>
      <c r="J12" s="102">
        <f t="shared" si="5"/>
        <v>0.37573484674047264</v>
      </c>
      <c r="K12" s="102">
        <f t="shared" si="5"/>
        <v>0.37573484674047264</v>
      </c>
      <c r="L12" s="102">
        <f t="shared" si="5"/>
        <v>0.37573484674047264</v>
      </c>
      <c r="M12" s="102">
        <f t="shared" si="5"/>
        <v>0.37573484674047264</v>
      </c>
      <c r="N12" s="187"/>
      <c r="O12" s="187"/>
    </row>
    <row r="13" spans="1:23">
      <c r="B13" s="4" t="s">
        <v>137</v>
      </c>
      <c r="C13" s="312">
        <v>0</v>
      </c>
      <c r="D13" s="312">
        <v>0</v>
      </c>
      <c r="E13" s="65">
        <v>0</v>
      </c>
      <c r="F13" s="103">
        <f>E13</f>
        <v>0</v>
      </c>
      <c r="G13" s="103">
        <f t="shared" ref="G13:M13" si="6">F13</f>
        <v>0</v>
      </c>
      <c r="H13" s="103">
        <f t="shared" si="6"/>
        <v>0</v>
      </c>
      <c r="I13" s="103">
        <f t="shared" si="6"/>
        <v>0</v>
      </c>
      <c r="J13" s="103">
        <f t="shared" si="6"/>
        <v>0</v>
      </c>
      <c r="K13" s="103">
        <f t="shared" si="6"/>
        <v>0</v>
      </c>
      <c r="L13" s="103">
        <f t="shared" si="6"/>
        <v>0</v>
      </c>
      <c r="M13" s="103">
        <f t="shared" si="6"/>
        <v>0</v>
      </c>
      <c r="N13" s="215"/>
      <c r="O13" s="215"/>
    </row>
    <row r="14" spans="1:23">
      <c r="B14" s="4" t="s">
        <v>138</v>
      </c>
      <c r="C14" s="312">
        <v>0</v>
      </c>
      <c r="D14" s="312">
        <v>0</v>
      </c>
      <c r="E14" s="65">
        <v>0</v>
      </c>
      <c r="F14" s="103">
        <v>0</v>
      </c>
      <c r="G14" s="103">
        <v>0</v>
      </c>
      <c r="H14" s="103">
        <v>0</v>
      </c>
      <c r="I14" s="103">
        <v>0</v>
      </c>
      <c r="J14" s="103">
        <v>0</v>
      </c>
      <c r="K14" s="103">
        <v>0</v>
      </c>
      <c r="L14" s="103">
        <v>0</v>
      </c>
      <c r="M14" s="103">
        <v>0</v>
      </c>
      <c r="N14" s="215"/>
      <c r="O14" s="215"/>
    </row>
    <row r="15" spans="1:23">
      <c r="B15" s="4" t="s">
        <v>140</v>
      </c>
      <c r="C15" s="312">
        <f>IncState!C26</f>
        <v>-911</v>
      </c>
      <c r="D15" s="312">
        <f>IncState!D26</f>
        <v>15545</v>
      </c>
      <c r="E15" s="65">
        <f>IncState!E26</f>
        <v>13108</v>
      </c>
      <c r="F15" s="103">
        <v>0</v>
      </c>
      <c r="G15" s="103">
        <v>0</v>
      </c>
      <c r="H15" s="103">
        <v>0</v>
      </c>
      <c r="I15" s="103">
        <v>0</v>
      </c>
      <c r="J15" s="103">
        <v>0</v>
      </c>
      <c r="K15" s="103">
        <v>0</v>
      </c>
      <c r="L15" s="103">
        <v>0</v>
      </c>
      <c r="M15" s="103">
        <v>0</v>
      </c>
      <c r="N15" s="215"/>
      <c r="O15" s="215"/>
    </row>
    <row r="16" spans="1:23">
      <c r="B16" s="4" t="s">
        <v>47</v>
      </c>
      <c r="C16" s="310">
        <f>IncState!C33/IncState!C31</f>
        <v>0.28029448435551862</v>
      </c>
      <c r="D16" s="310">
        <f>IncState!D33/IncState!D31</f>
        <v>0.29360267910021859</v>
      </c>
      <c r="E16" s="311">
        <f>IncState!E33/IncState!E31</f>
        <v>0.29423401488531664</v>
      </c>
      <c r="F16" s="102">
        <f>E16</f>
        <v>0.29423401488531664</v>
      </c>
      <c r="G16" s="102">
        <f t="shared" ref="G16:M16" si="7">F16</f>
        <v>0.29423401488531664</v>
      </c>
      <c r="H16" s="102">
        <f t="shared" si="7"/>
        <v>0.29423401488531664</v>
      </c>
      <c r="I16" s="102">
        <f t="shared" si="7"/>
        <v>0.29423401488531664</v>
      </c>
      <c r="J16" s="102">
        <f t="shared" si="7"/>
        <v>0.29423401488531664</v>
      </c>
      <c r="K16" s="102">
        <f t="shared" si="7"/>
        <v>0.29423401488531664</v>
      </c>
      <c r="L16" s="102">
        <f t="shared" si="7"/>
        <v>0.29423401488531664</v>
      </c>
      <c r="M16" s="102">
        <f t="shared" si="7"/>
        <v>0.29423401488531664</v>
      </c>
      <c r="N16" s="187"/>
      <c r="O16" s="187"/>
    </row>
    <row r="17" spans="1:15">
      <c r="B17" s="4" t="s">
        <v>141</v>
      </c>
      <c r="C17" s="313">
        <v>290</v>
      </c>
      <c r="D17" s="313">
        <f>D38</f>
        <v>400</v>
      </c>
      <c r="E17" s="313">
        <f t="shared" ref="E17:M17" si="8">E38</f>
        <v>500</v>
      </c>
      <c r="F17" s="107">
        <f t="shared" si="8"/>
        <v>550</v>
      </c>
      <c r="G17" s="107">
        <f t="shared" si="8"/>
        <v>600</v>
      </c>
      <c r="H17" s="107">
        <f t="shared" si="8"/>
        <v>650</v>
      </c>
      <c r="I17" s="107">
        <f t="shared" si="8"/>
        <v>700</v>
      </c>
      <c r="J17" s="107">
        <f t="shared" si="8"/>
        <v>750</v>
      </c>
      <c r="K17" s="107">
        <f t="shared" si="8"/>
        <v>800</v>
      </c>
      <c r="L17" s="107">
        <f t="shared" si="8"/>
        <v>850</v>
      </c>
      <c r="M17" s="107">
        <f t="shared" si="8"/>
        <v>900</v>
      </c>
      <c r="N17" s="187"/>
      <c r="O17" s="187"/>
    </row>
    <row r="18" spans="1:15">
      <c r="B18" s="4" t="s">
        <v>48</v>
      </c>
      <c r="C18" s="312">
        <f>C39</f>
        <v>306.62812400000001</v>
      </c>
      <c r="D18" s="312">
        <f t="shared" ref="D18:E18" si="9">D39</f>
        <v>306.70701000000003</v>
      </c>
      <c r="E18" s="65">
        <f t="shared" si="9"/>
        <v>306.81960199999997</v>
      </c>
      <c r="F18" s="103">
        <f>E18</f>
        <v>306.81960199999997</v>
      </c>
      <c r="G18" s="103">
        <f t="shared" ref="G18:M18" si="10">F18</f>
        <v>306.81960199999997</v>
      </c>
      <c r="H18" s="103">
        <f t="shared" si="10"/>
        <v>306.81960199999997</v>
      </c>
      <c r="I18" s="103">
        <f t="shared" si="10"/>
        <v>306.81960199999997</v>
      </c>
      <c r="J18" s="103">
        <f t="shared" si="10"/>
        <v>306.81960199999997</v>
      </c>
      <c r="K18" s="103">
        <f t="shared" si="10"/>
        <v>306.81960199999997</v>
      </c>
      <c r="L18" s="103">
        <f t="shared" si="10"/>
        <v>306.81960199999997</v>
      </c>
      <c r="M18" s="103">
        <f t="shared" si="10"/>
        <v>306.81960199999997</v>
      </c>
      <c r="N18" s="215"/>
      <c r="O18" s="215"/>
    </row>
    <row r="19" spans="1:15">
      <c r="B19" s="4" t="s">
        <v>49</v>
      </c>
      <c r="C19" s="312">
        <f>C40</f>
        <v>318.18082400000003</v>
      </c>
      <c r="D19" s="312">
        <f t="shared" ref="D19:E19" si="11">D40</f>
        <v>318.18879100000004</v>
      </c>
      <c r="E19" s="65">
        <f t="shared" si="11"/>
        <v>318.22139099999998</v>
      </c>
      <c r="F19" s="103">
        <f>E19</f>
        <v>318.22139099999998</v>
      </c>
      <c r="G19" s="103">
        <f t="shared" ref="G19:M19" si="12">F19</f>
        <v>318.22139099999998</v>
      </c>
      <c r="H19" s="103">
        <f t="shared" si="12"/>
        <v>318.22139099999998</v>
      </c>
      <c r="I19" s="103">
        <f t="shared" si="12"/>
        <v>318.22139099999998</v>
      </c>
      <c r="J19" s="103">
        <f t="shared" si="12"/>
        <v>318.22139099999998</v>
      </c>
      <c r="K19" s="103">
        <f t="shared" si="12"/>
        <v>318.22139099999998</v>
      </c>
      <c r="L19" s="103">
        <f t="shared" si="12"/>
        <v>318.22139099999998</v>
      </c>
      <c r="M19" s="103">
        <f t="shared" si="12"/>
        <v>318.22139099999998</v>
      </c>
      <c r="N19" s="215"/>
      <c r="O19" s="215"/>
    </row>
    <row r="20" spans="1:15">
      <c r="F20" s="105"/>
      <c r="G20" s="105"/>
      <c r="H20" s="105"/>
      <c r="I20" s="105"/>
      <c r="J20" s="105"/>
      <c r="K20" s="105"/>
      <c r="L20" s="105"/>
      <c r="M20" s="105"/>
      <c r="N20" s="187"/>
      <c r="O20" s="187"/>
    </row>
    <row r="21" spans="1:15">
      <c r="A21" s="66" t="s">
        <v>125</v>
      </c>
      <c r="B21" s="108" t="s">
        <v>146</v>
      </c>
      <c r="C21" s="212">
        <v>2023</v>
      </c>
      <c r="D21" s="212">
        <v>2024</v>
      </c>
      <c r="E21" s="212">
        <v>2025</v>
      </c>
      <c r="F21" s="210">
        <v>2026</v>
      </c>
      <c r="G21" s="210">
        <v>2027</v>
      </c>
      <c r="H21" s="210">
        <v>2028</v>
      </c>
      <c r="I21" s="210">
        <v>2029</v>
      </c>
      <c r="J21" s="210">
        <v>2030</v>
      </c>
      <c r="K21" s="210">
        <v>2031</v>
      </c>
      <c r="L21" s="210">
        <v>2032</v>
      </c>
      <c r="M21" s="210">
        <v>2033</v>
      </c>
      <c r="N21" s="216"/>
      <c r="O21" s="216"/>
    </row>
    <row r="22" spans="1:15">
      <c r="A22" s="87"/>
      <c r="B22" s="166"/>
      <c r="C22" s="214"/>
      <c r="D22" s="214"/>
      <c r="E22" s="214"/>
      <c r="F22" s="216"/>
      <c r="G22" s="216"/>
      <c r="H22" s="216"/>
      <c r="I22" s="216"/>
      <c r="J22" s="216"/>
      <c r="K22" s="216"/>
      <c r="L22" s="216"/>
      <c r="M22" s="216"/>
      <c r="N22" s="216"/>
      <c r="O22" s="216"/>
    </row>
    <row r="23" spans="1:15">
      <c r="B23" s="4" t="s">
        <v>139</v>
      </c>
      <c r="C23" s="8">
        <v>0</v>
      </c>
      <c r="D23" s="8">
        <v>0</v>
      </c>
      <c r="E23" s="8">
        <v>0</v>
      </c>
      <c r="F23" s="102">
        <f>E23</f>
        <v>0</v>
      </c>
      <c r="G23" s="102">
        <f t="shared" ref="G23:M23" si="13">F23</f>
        <v>0</v>
      </c>
      <c r="H23" s="102">
        <f t="shared" si="13"/>
        <v>0</v>
      </c>
      <c r="I23" s="102">
        <f t="shared" si="13"/>
        <v>0</v>
      </c>
      <c r="J23" s="102">
        <f t="shared" si="13"/>
        <v>0</v>
      </c>
      <c r="K23" s="102">
        <f t="shared" si="13"/>
        <v>0</v>
      </c>
      <c r="L23" s="102">
        <f t="shared" si="13"/>
        <v>0</v>
      </c>
      <c r="M23" s="102">
        <f t="shared" si="13"/>
        <v>0</v>
      </c>
      <c r="N23" s="187"/>
      <c r="O23" s="187"/>
    </row>
    <row r="24" spans="1:15">
      <c r="B24" s="4" t="s">
        <v>25</v>
      </c>
      <c r="C24" s="8">
        <f>IncState!C29/240913</f>
        <v>4.1043862307139925E-2</v>
      </c>
      <c r="D24" s="8">
        <f>IncState!D29/240935</f>
        <v>4.6074667441426111E-2</v>
      </c>
      <c r="E24" s="8">
        <f>IncState!E29/211328</f>
        <v>6.0730239248940034E-2</v>
      </c>
      <c r="F24" s="102">
        <f>AVERAGE(C24:E24)</f>
        <v>4.9282922999168692E-2</v>
      </c>
      <c r="G24" s="102">
        <f t="shared" ref="G24:M24" si="14">F24</f>
        <v>4.9282922999168692E-2</v>
      </c>
      <c r="H24" s="102">
        <f t="shared" si="14"/>
        <v>4.9282922999168692E-2</v>
      </c>
      <c r="I24" s="102">
        <f t="shared" si="14"/>
        <v>4.9282922999168692E-2</v>
      </c>
      <c r="J24" s="102">
        <f t="shared" si="14"/>
        <v>4.9282922999168692E-2</v>
      </c>
      <c r="K24" s="102">
        <f t="shared" si="14"/>
        <v>4.9282922999168692E-2</v>
      </c>
      <c r="L24" s="102">
        <f t="shared" si="14"/>
        <v>4.9282922999168692E-2</v>
      </c>
      <c r="M24" s="102">
        <f t="shared" si="14"/>
        <v>4.9282922999168692E-2</v>
      </c>
      <c r="N24" s="187"/>
      <c r="O24" s="187"/>
    </row>
    <row r="25" spans="1:15">
      <c r="B25" s="4" t="s">
        <v>26</v>
      </c>
      <c r="C25" s="8">
        <f>IncState!C28/BalSheet!C18</f>
        <v>4.3340129884200565E-2</v>
      </c>
      <c r="D25" s="8">
        <f>IncState!D28/BalSheet!D18</f>
        <v>3.9776990722118967E-2</v>
      </c>
      <c r="E25" s="8">
        <f>IncState!E28/BalSheet!E18</f>
        <v>5.5072430882356277E-2</v>
      </c>
      <c r="F25" s="130">
        <f>AVERAGE(C25:E25)</f>
        <v>4.6063183829558603E-2</v>
      </c>
      <c r="G25" s="130">
        <f t="shared" ref="G25:M25" si="15">F25</f>
        <v>4.6063183829558603E-2</v>
      </c>
      <c r="H25" s="130">
        <f t="shared" si="15"/>
        <v>4.6063183829558603E-2</v>
      </c>
      <c r="I25" s="130">
        <f t="shared" si="15"/>
        <v>4.6063183829558603E-2</v>
      </c>
      <c r="J25" s="130">
        <f t="shared" si="15"/>
        <v>4.6063183829558603E-2</v>
      </c>
      <c r="K25" s="130">
        <f t="shared" si="15"/>
        <v>4.6063183829558603E-2</v>
      </c>
      <c r="L25" s="130">
        <f t="shared" si="15"/>
        <v>4.6063183829558603E-2</v>
      </c>
      <c r="M25" s="102">
        <f t="shared" si="15"/>
        <v>4.6063183829558603E-2</v>
      </c>
      <c r="N25" s="187"/>
      <c r="O25" s="187"/>
    </row>
    <row r="26" spans="1:15">
      <c r="F26" s="105"/>
      <c r="G26" s="105"/>
      <c r="H26" s="105"/>
      <c r="I26" s="105"/>
      <c r="J26" s="105"/>
      <c r="K26" s="105"/>
      <c r="L26" s="105"/>
      <c r="M26" s="105"/>
      <c r="N26" s="187"/>
      <c r="O26" s="187"/>
    </row>
    <row r="27" spans="1:15">
      <c r="B27" s="4" t="s">
        <v>27</v>
      </c>
      <c r="C27" s="4">
        <v>0</v>
      </c>
      <c r="D27" s="4">
        <v>0</v>
      </c>
      <c r="E27" s="4">
        <v>0</v>
      </c>
      <c r="F27" s="103">
        <v>0</v>
      </c>
      <c r="G27" s="103">
        <v>0</v>
      </c>
      <c r="H27" s="103">
        <v>0</v>
      </c>
      <c r="I27" s="103">
        <v>0</v>
      </c>
      <c r="J27" s="103">
        <v>0</v>
      </c>
      <c r="K27" s="103">
        <v>0</v>
      </c>
      <c r="L27" s="103">
        <v>0</v>
      </c>
      <c r="M27" s="103">
        <v>0</v>
      </c>
      <c r="N27" s="215"/>
      <c r="O27" s="215"/>
    </row>
    <row r="28" spans="1:15">
      <c r="B28" s="4" t="s">
        <v>28</v>
      </c>
      <c r="C28" s="4">
        <v>0</v>
      </c>
      <c r="D28" s="4">
        <v>0</v>
      </c>
      <c r="E28" s="4">
        <v>0</v>
      </c>
      <c r="F28" s="103">
        <v>0</v>
      </c>
      <c r="G28" s="103">
        <v>0</v>
      </c>
      <c r="H28" s="103">
        <v>0</v>
      </c>
      <c r="I28" s="103">
        <v>0</v>
      </c>
      <c r="J28" s="103">
        <v>0</v>
      </c>
      <c r="K28" s="103">
        <v>0</v>
      </c>
      <c r="L28" s="103">
        <v>0</v>
      </c>
      <c r="M28" s="103">
        <v>0</v>
      </c>
      <c r="N28" s="215"/>
      <c r="O28" s="215"/>
    </row>
    <row r="29" spans="1:15">
      <c r="F29" s="105"/>
      <c r="G29" s="105"/>
      <c r="H29" s="105"/>
      <c r="I29" s="105"/>
      <c r="J29" s="105"/>
      <c r="K29" s="105"/>
      <c r="L29" s="105"/>
      <c r="M29" s="105"/>
      <c r="N29" s="187"/>
      <c r="O29" s="187"/>
    </row>
    <row r="30" spans="1:15">
      <c r="A30" s="66" t="s">
        <v>125</v>
      </c>
      <c r="B30" s="108" t="s">
        <v>143</v>
      </c>
      <c r="C30" s="212">
        <v>2023</v>
      </c>
      <c r="D30" s="212">
        <v>2024</v>
      </c>
      <c r="E30" s="212">
        <v>2025</v>
      </c>
      <c r="F30" s="210">
        <v>2026</v>
      </c>
      <c r="G30" s="210">
        <v>2027</v>
      </c>
      <c r="H30" s="210">
        <v>2028</v>
      </c>
      <c r="I30" s="210">
        <v>2029</v>
      </c>
      <c r="J30" s="210">
        <v>2030</v>
      </c>
      <c r="K30" s="210">
        <v>2031</v>
      </c>
      <c r="L30" s="210">
        <v>2032</v>
      </c>
      <c r="M30" s="210">
        <v>2033</v>
      </c>
      <c r="N30" s="217"/>
      <c r="O30" s="217"/>
    </row>
    <row r="31" spans="1:15">
      <c r="A31" s="87"/>
      <c r="B31" s="166"/>
      <c r="C31" s="214"/>
      <c r="D31" s="214"/>
      <c r="E31" s="214"/>
      <c r="F31" s="216"/>
      <c r="G31" s="216"/>
      <c r="H31" s="216"/>
      <c r="I31" s="216"/>
      <c r="J31" s="216"/>
      <c r="K31" s="217"/>
      <c r="L31" s="217"/>
      <c r="M31" s="217"/>
      <c r="N31" s="217"/>
      <c r="O31" s="217"/>
    </row>
    <row r="32" spans="1:15">
      <c r="B32" s="4" t="s">
        <v>144</v>
      </c>
      <c r="C32" s="8">
        <f>102024/IncState!C16</f>
        <v>3.6877606353312074E-2</v>
      </c>
      <c r="D32" s="8">
        <f>112112/IncState!D16</f>
        <v>3.6120465127667825E-2</v>
      </c>
      <c r="E32" s="8">
        <f>171902/IncState!E16</f>
        <v>5.055139788133587E-2</v>
      </c>
      <c r="F32" s="243">
        <f>126300/Revenue!L15</f>
        <v>3.3709363469441117E-2</v>
      </c>
      <c r="G32" s="243">
        <f>AVERAGE(C32:F32)</f>
        <v>3.9314708207939218E-2</v>
      </c>
      <c r="H32" s="243">
        <f t="shared" ref="G32:M32" si="16">G32</f>
        <v>3.9314708207939218E-2</v>
      </c>
      <c r="I32" s="243">
        <f t="shared" si="16"/>
        <v>3.9314708207939218E-2</v>
      </c>
      <c r="J32" s="243">
        <f t="shared" si="16"/>
        <v>3.9314708207939218E-2</v>
      </c>
      <c r="K32" s="243">
        <f t="shared" si="16"/>
        <v>3.9314708207939218E-2</v>
      </c>
      <c r="L32" s="243">
        <f t="shared" si="16"/>
        <v>3.9314708207939218E-2</v>
      </c>
      <c r="M32" s="243">
        <f t="shared" si="16"/>
        <v>3.9314708207939218E-2</v>
      </c>
      <c r="N32" s="187"/>
      <c r="O32" s="187"/>
    </row>
    <row r="33" spans="1:15">
      <c r="B33" s="4" t="s">
        <v>157</v>
      </c>
      <c r="D33" s="8">
        <f>IncState!D21/BalSheet!C24</f>
        <v>0.33448106568913039</v>
      </c>
      <c r="E33" s="8">
        <f>IncState!E21/BalSheet!D24</f>
        <v>0.32680306859042291</v>
      </c>
      <c r="F33" s="102">
        <f>256900/BalSheet!E24</f>
        <v>0.31737129105504641</v>
      </c>
      <c r="G33" s="102">
        <f t="shared" ref="G33:M33" si="17">F33</f>
        <v>0.31737129105504641</v>
      </c>
      <c r="H33" s="102">
        <f t="shared" si="17"/>
        <v>0.31737129105504641</v>
      </c>
      <c r="I33" s="102">
        <f t="shared" si="17"/>
        <v>0.31737129105504641</v>
      </c>
      <c r="J33" s="102">
        <f t="shared" si="17"/>
        <v>0.31737129105504641</v>
      </c>
      <c r="K33" s="102">
        <f t="shared" si="17"/>
        <v>0.31737129105504641</v>
      </c>
      <c r="L33" s="102">
        <f t="shared" si="17"/>
        <v>0.31737129105504641</v>
      </c>
      <c r="M33" s="102">
        <f t="shared" si="17"/>
        <v>0.31737129105504641</v>
      </c>
      <c r="N33" s="187"/>
      <c r="O33" s="187"/>
    </row>
    <row r="34" spans="1:15">
      <c r="B34" s="4" t="s">
        <v>145</v>
      </c>
      <c r="C34" s="4">
        <v>0</v>
      </c>
      <c r="D34" s="4">
        <v>0</v>
      </c>
      <c r="E34" s="4">
        <v>0</v>
      </c>
      <c r="F34" s="107">
        <v>0</v>
      </c>
      <c r="G34" s="107">
        <v>0</v>
      </c>
      <c r="H34" s="107">
        <v>0</v>
      </c>
      <c r="I34" s="107">
        <v>0</v>
      </c>
      <c r="J34" s="107">
        <v>0</v>
      </c>
      <c r="K34" s="107">
        <v>0</v>
      </c>
      <c r="L34" s="107">
        <v>0</v>
      </c>
      <c r="M34" s="107">
        <v>0</v>
      </c>
      <c r="N34" s="218"/>
      <c r="O34" s="218"/>
    </row>
    <row r="35" spans="1:15"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1:15">
      <c r="A36" s="66" t="s">
        <v>125</v>
      </c>
      <c r="B36" s="108" t="s">
        <v>60</v>
      </c>
      <c r="C36" s="212">
        <v>2023</v>
      </c>
      <c r="D36" s="212">
        <v>2024</v>
      </c>
      <c r="E36" s="212">
        <v>2025</v>
      </c>
      <c r="F36" s="324">
        <v>2026</v>
      </c>
      <c r="G36" s="324">
        <v>2027</v>
      </c>
      <c r="H36" s="324">
        <v>2028</v>
      </c>
      <c r="I36" s="324">
        <v>2029</v>
      </c>
      <c r="J36" s="324">
        <v>2030</v>
      </c>
      <c r="K36" s="210">
        <v>2031</v>
      </c>
      <c r="L36" s="210">
        <v>2032</v>
      </c>
      <c r="M36" s="210">
        <v>2033</v>
      </c>
      <c r="N36" s="217"/>
      <c r="O36" s="217"/>
    </row>
    <row r="37" spans="1:15">
      <c r="A37" s="87"/>
      <c r="B37" s="166"/>
      <c r="C37" s="214"/>
      <c r="D37" s="214"/>
      <c r="E37" s="214"/>
      <c r="F37" s="299"/>
      <c r="G37" s="299"/>
      <c r="H37" s="299"/>
      <c r="I37" s="299"/>
      <c r="J37" s="299"/>
      <c r="K37" s="217"/>
      <c r="L37" s="217"/>
      <c r="M37" s="217"/>
      <c r="N37" s="217"/>
      <c r="O37" s="217"/>
    </row>
    <row r="38" spans="1:15">
      <c r="B38" s="4" t="s">
        <v>130</v>
      </c>
      <c r="C38" s="135">
        <v>290</v>
      </c>
      <c r="D38" s="135">
        <v>400</v>
      </c>
      <c r="E38" s="135">
        <v>500</v>
      </c>
      <c r="F38" s="107">
        <f>E38+50</f>
        <v>550</v>
      </c>
      <c r="G38" s="107">
        <f t="shared" ref="G38:M38" si="18">F38+50</f>
        <v>600</v>
      </c>
      <c r="H38" s="107">
        <f t="shared" si="18"/>
        <v>650</v>
      </c>
      <c r="I38" s="107">
        <f t="shared" si="18"/>
        <v>700</v>
      </c>
      <c r="J38" s="107">
        <f t="shared" si="18"/>
        <v>750</v>
      </c>
      <c r="K38" s="107">
        <f t="shared" si="18"/>
        <v>800</v>
      </c>
      <c r="L38" s="107">
        <f t="shared" si="18"/>
        <v>850</v>
      </c>
      <c r="M38" s="107">
        <f t="shared" si="18"/>
        <v>900</v>
      </c>
      <c r="N38" s="187"/>
      <c r="O38" s="187"/>
    </row>
    <row r="39" spans="1:15">
      <c r="B39" s="4" t="s">
        <v>48</v>
      </c>
      <c r="C39" s="307">
        <f>IncState!C38</f>
        <v>306.62812400000001</v>
      </c>
      <c r="D39" s="307">
        <f>IncState!D38</f>
        <v>306.70701000000003</v>
      </c>
      <c r="E39" s="308">
        <f>IncState!E38</f>
        <v>306.81960199999997</v>
      </c>
      <c r="F39" s="103">
        <f>E39</f>
        <v>306.81960199999997</v>
      </c>
      <c r="G39" s="103">
        <f t="shared" ref="G38:M39" si="19">F39</f>
        <v>306.81960199999997</v>
      </c>
      <c r="H39" s="103">
        <f t="shared" si="19"/>
        <v>306.81960199999997</v>
      </c>
      <c r="I39" s="103">
        <f t="shared" si="19"/>
        <v>306.81960199999997</v>
      </c>
      <c r="J39" s="103">
        <f t="shared" si="19"/>
        <v>306.81960199999997</v>
      </c>
      <c r="K39" s="103">
        <f t="shared" si="19"/>
        <v>306.81960199999997</v>
      </c>
      <c r="L39" s="103">
        <f t="shared" si="19"/>
        <v>306.81960199999997</v>
      </c>
      <c r="M39" s="103">
        <f t="shared" si="19"/>
        <v>306.81960199999997</v>
      </c>
      <c r="N39" s="215"/>
      <c r="O39" s="215"/>
    </row>
    <row r="40" spans="1:15">
      <c r="B40" s="4" t="s">
        <v>49</v>
      </c>
      <c r="C40" s="307">
        <f>IncState!C39</f>
        <v>318.18082400000003</v>
      </c>
      <c r="D40" s="307">
        <f>IncState!D39</f>
        <v>318.18879100000004</v>
      </c>
      <c r="E40" s="308">
        <f>IncState!E39</f>
        <v>318.22139099999998</v>
      </c>
      <c r="F40" s="103">
        <f>E40</f>
        <v>318.22139099999998</v>
      </c>
      <c r="G40" s="103">
        <f t="shared" ref="G40:M40" si="20">F40</f>
        <v>318.22139099999998</v>
      </c>
      <c r="H40" s="103">
        <f t="shared" si="20"/>
        <v>318.22139099999998</v>
      </c>
      <c r="I40" s="103">
        <f t="shared" si="20"/>
        <v>318.22139099999998</v>
      </c>
      <c r="J40" s="103">
        <f t="shared" si="20"/>
        <v>318.22139099999998</v>
      </c>
      <c r="K40" s="103">
        <f t="shared" si="20"/>
        <v>318.22139099999998</v>
      </c>
      <c r="L40" s="103">
        <f t="shared" si="20"/>
        <v>318.22139099999998</v>
      </c>
      <c r="M40" s="103">
        <f t="shared" si="20"/>
        <v>318.22139099999998</v>
      </c>
      <c r="N40" s="215"/>
      <c r="O40" s="215"/>
    </row>
    <row r="41" spans="1:15"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>
      <c r="A42" s="66" t="s">
        <v>125</v>
      </c>
      <c r="B42" s="108" t="s">
        <v>131</v>
      </c>
      <c r="C42" s="212">
        <v>2023</v>
      </c>
      <c r="D42" s="212">
        <v>2024</v>
      </c>
      <c r="E42" s="212">
        <v>2025</v>
      </c>
      <c r="F42" s="324">
        <v>2026</v>
      </c>
      <c r="G42" s="324">
        <v>2027</v>
      </c>
      <c r="H42" s="324">
        <v>2028</v>
      </c>
      <c r="I42" s="324">
        <v>2029</v>
      </c>
      <c r="J42" s="324">
        <v>2030</v>
      </c>
      <c r="K42" s="210">
        <v>2031</v>
      </c>
      <c r="L42" s="210">
        <v>2032</v>
      </c>
      <c r="M42" s="210">
        <v>2033</v>
      </c>
      <c r="N42" s="217"/>
      <c r="O42" s="217"/>
    </row>
    <row r="43" spans="1:15">
      <c r="A43" s="87"/>
      <c r="B43" s="166"/>
      <c r="C43" s="214"/>
      <c r="D43" s="214"/>
      <c r="E43" s="214"/>
      <c r="F43" s="299"/>
      <c r="G43" s="299"/>
      <c r="H43" s="299"/>
      <c r="I43" s="299"/>
      <c r="J43" s="299"/>
      <c r="K43" s="217"/>
      <c r="L43" s="217"/>
      <c r="M43" s="217"/>
      <c r="N43" s="217"/>
      <c r="O43" s="217"/>
    </row>
    <row r="44" spans="1:15">
      <c r="B44" s="4" t="s">
        <v>142</v>
      </c>
      <c r="C44" s="315">
        <f>BalSheet!C17/IncState!C16</f>
        <v>2.6103361816208513E-2</v>
      </c>
      <c r="D44" s="315">
        <f>BalSheet!D17/IncState!D16</f>
        <v>2.6209569538935707E-2</v>
      </c>
      <c r="E44" s="28">
        <f>BalSheet!E17/IncState!E16</f>
        <v>2.5735263475374838E-2</v>
      </c>
      <c r="F44" s="104">
        <f>E44</f>
        <v>2.5735263475374838E-2</v>
      </c>
      <c r="G44" s="102">
        <f t="shared" ref="G44:M44" si="21">F44</f>
        <v>2.5735263475374838E-2</v>
      </c>
      <c r="H44" s="102">
        <f t="shared" si="21"/>
        <v>2.5735263475374838E-2</v>
      </c>
      <c r="I44" s="102">
        <f t="shared" si="21"/>
        <v>2.5735263475374838E-2</v>
      </c>
      <c r="J44" s="102">
        <f t="shared" si="21"/>
        <v>2.5735263475374838E-2</v>
      </c>
      <c r="K44" s="102">
        <f t="shared" si="21"/>
        <v>2.5735263475374838E-2</v>
      </c>
      <c r="L44" s="102">
        <f t="shared" si="21"/>
        <v>2.5735263475374838E-2</v>
      </c>
      <c r="M44" s="102">
        <f t="shared" si="21"/>
        <v>2.5735263475374838E-2</v>
      </c>
      <c r="N44" s="187"/>
      <c r="O44" s="187"/>
    </row>
    <row r="45" spans="1:15">
      <c r="B45" s="4" t="s">
        <v>155</v>
      </c>
      <c r="C45" s="315">
        <f>BalSheet!C19/IncState!C16</f>
        <v>3.2708886894432319E-2</v>
      </c>
      <c r="D45" s="315">
        <f>BalSheet!D19/IncState!D16</f>
        <v>2.7752432796062678E-2</v>
      </c>
      <c r="E45" s="28">
        <f>BalSheet!E19/IncState!E16</f>
        <v>3.0715424819418333E-2</v>
      </c>
      <c r="F45" s="104">
        <f>E45</f>
        <v>3.0715424819418333E-2</v>
      </c>
      <c r="G45" s="102">
        <f t="shared" ref="G45:M45" si="22">F45</f>
        <v>3.0715424819418333E-2</v>
      </c>
      <c r="H45" s="102">
        <f t="shared" si="22"/>
        <v>3.0715424819418333E-2</v>
      </c>
      <c r="I45" s="102">
        <f t="shared" si="22"/>
        <v>3.0715424819418333E-2</v>
      </c>
      <c r="J45" s="102">
        <f t="shared" si="22"/>
        <v>3.0715424819418333E-2</v>
      </c>
      <c r="K45" s="102">
        <f t="shared" si="22"/>
        <v>3.0715424819418333E-2</v>
      </c>
      <c r="L45" s="102">
        <f t="shared" si="22"/>
        <v>3.0715424819418333E-2</v>
      </c>
      <c r="M45" s="102">
        <f t="shared" si="22"/>
        <v>3.0715424819418333E-2</v>
      </c>
      <c r="N45" s="187"/>
      <c r="O45" s="187"/>
    </row>
    <row r="46" spans="1:15">
      <c r="B46" s="4" t="s">
        <v>64</v>
      </c>
      <c r="C46" s="315">
        <f>BalSheet!C20/IncState!C17</f>
        <v>0.33773519090419757</v>
      </c>
      <c r="D46" s="315">
        <f>BalSheet!D20/IncState!D17</f>
        <v>0.33161304030573874</v>
      </c>
      <c r="E46" s="28">
        <f>BalSheet!E20/IncState!E17</f>
        <v>0.32510286756663725</v>
      </c>
      <c r="F46" s="104">
        <f t="shared" ref="F46:M46" si="23">E46</f>
        <v>0.32510286756663725</v>
      </c>
      <c r="G46" s="102">
        <f t="shared" si="23"/>
        <v>0.32510286756663725</v>
      </c>
      <c r="H46" s="102">
        <f t="shared" si="23"/>
        <v>0.32510286756663725</v>
      </c>
      <c r="I46" s="102">
        <f t="shared" si="23"/>
        <v>0.32510286756663725</v>
      </c>
      <c r="J46" s="102">
        <f t="shared" si="23"/>
        <v>0.32510286756663725</v>
      </c>
      <c r="K46" s="102">
        <f t="shared" si="23"/>
        <v>0.32510286756663725</v>
      </c>
      <c r="L46" s="102">
        <f t="shared" si="23"/>
        <v>0.32510286756663725</v>
      </c>
      <c r="M46" s="102">
        <f t="shared" si="23"/>
        <v>0.32510286756663725</v>
      </c>
      <c r="N46" s="187"/>
      <c r="O46" s="187"/>
    </row>
    <row r="47" spans="1:15">
      <c r="B47" s="4" t="s">
        <v>65</v>
      </c>
      <c r="C47" s="315">
        <f>BalSheet!C21/IncState!C16</f>
        <v>9.1709659334689286E-3</v>
      </c>
      <c r="D47" s="315">
        <f>BalSheet!D21/IncState!D16</f>
        <v>8.6657284727672465E-3</v>
      </c>
      <c r="E47" s="28">
        <f>BalSheet!E21/IncState!E16</f>
        <v>7.2523796962775606E-3</v>
      </c>
      <c r="F47" s="104">
        <f t="shared" ref="F47:M47" si="24">E47</f>
        <v>7.2523796962775606E-3</v>
      </c>
      <c r="G47" s="102">
        <f t="shared" si="24"/>
        <v>7.2523796962775606E-3</v>
      </c>
      <c r="H47" s="102">
        <f t="shared" si="24"/>
        <v>7.2523796962775606E-3</v>
      </c>
      <c r="I47" s="102">
        <f t="shared" si="24"/>
        <v>7.2523796962775606E-3</v>
      </c>
      <c r="J47" s="102">
        <f t="shared" si="24"/>
        <v>7.2523796962775606E-3</v>
      </c>
      <c r="K47" s="102">
        <f t="shared" si="24"/>
        <v>7.2523796962775606E-3</v>
      </c>
      <c r="L47" s="102">
        <f t="shared" si="24"/>
        <v>7.2523796962775606E-3</v>
      </c>
      <c r="M47" s="102">
        <f t="shared" si="24"/>
        <v>7.2523796962775606E-3</v>
      </c>
      <c r="N47" s="187"/>
      <c r="O47" s="187"/>
    </row>
    <row r="48" spans="1:15">
      <c r="C48" s="316"/>
      <c r="D48" s="316"/>
      <c r="E48" s="29"/>
      <c r="F48" s="105"/>
      <c r="G48" s="105"/>
      <c r="H48" s="105"/>
      <c r="I48" s="105"/>
      <c r="J48" s="105"/>
      <c r="K48" s="105"/>
      <c r="L48" s="105"/>
      <c r="M48" s="105"/>
      <c r="N48" s="187"/>
      <c r="O48" s="187"/>
    </row>
    <row r="49" spans="1:15">
      <c r="B49" s="4" t="s">
        <v>181</v>
      </c>
      <c r="C49" s="316">
        <f>BalSheet!C26</f>
        <v>373488</v>
      </c>
      <c r="D49" s="316">
        <f>BalSheet!D26</f>
        <v>422856</v>
      </c>
      <c r="E49" s="29">
        <f>BalSheet!E26</f>
        <v>377681</v>
      </c>
      <c r="F49" s="314">
        <f>E49</f>
        <v>377681</v>
      </c>
      <c r="G49" s="103">
        <f t="shared" ref="G49:M49" si="25">F49</f>
        <v>377681</v>
      </c>
      <c r="H49" s="103">
        <f t="shared" si="25"/>
        <v>377681</v>
      </c>
      <c r="I49" s="103">
        <f t="shared" si="25"/>
        <v>377681</v>
      </c>
      <c r="J49" s="103">
        <f t="shared" si="25"/>
        <v>377681</v>
      </c>
      <c r="K49" s="103">
        <f t="shared" si="25"/>
        <v>377681</v>
      </c>
      <c r="L49" s="103">
        <f t="shared" si="25"/>
        <v>377681</v>
      </c>
      <c r="M49" s="103">
        <f t="shared" si="25"/>
        <v>377681</v>
      </c>
      <c r="N49" s="215"/>
      <c r="O49" s="215"/>
    </row>
    <row r="50" spans="1:15">
      <c r="B50" s="4" t="s">
        <v>66</v>
      </c>
      <c r="C50" s="315">
        <f>BalSheet!C27/IncState!C16</f>
        <v>1.7008144057758433E-2</v>
      </c>
      <c r="D50" s="315">
        <f>BalSheet!D27/IncState!D16</f>
        <v>1.2346013126982225E-2</v>
      </c>
      <c r="E50" s="28">
        <f>BalSheet!E27/IncState!E16</f>
        <v>1.3142622390156384E-2</v>
      </c>
      <c r="F50" s="104">
        <f>E50</f>
        <v>1.3142622390156384E-2</v>
      </c>
      <c r="G50" s="102">
        <f t="shared" ref="G50:M50" si="26">F50</f>
        <v>1.3142622390156384E-2</v>
      </c>
      <c r="H50" s="102">
        <f t="shared" si="26"/>
        <v>1.3142622390156384E-2</v>
      </c>
      <c r="I50" s="102">
        <f t="shared" si="26"/>
        <v>1.3142622390156384E-2</v>
      </c>
      <c r="J50" s="102">
        <f t="shared" si="26"/>
        <v>1.3142622390156384E-2</v>
      </c>
      <c r="K50" s="102">
        <f t="shared" si="26"/>
        <v>1.3142622390156384E-2</v>
      </c>
      <c r="L50" s="102">
        <f t="shared" si="26"/>
        <v>1.3142622390156384E-2</v>
      </c>
      <c r="M50" s="102">
        <f t="shared" si="26"/>
        <v>1.3142622390156384E-2</v>
      </c>
      <c r="N50" s="187"/>
      <c r="O50" s="187"/>
    </row>
    <row r="51" spans="1:15">
      <c r="F51" s="32"/>
      <c r="G51" s="32"/>
      <c r="H51" s="32"/>
      <c r="I51" s="32"/>
      <c r="J51" s="32"/>
      <c r="K51" s="32"/>
      <c r="L51" s="32"/>
      <c r="M51" s="32"/>
      <c r="N51" s="32"/>
      <c r="O51" s="32"/>
    </row>
    <row r="52" spans="1:15">
      <c r="A52" s="66" t="s">
        <v>125</v>
      </c>
      <c r="B52" s="108" t="s">
        <v>132</v>
      </c>
      <c r="C52" s="212">
        <v>2023</v>
      </c>
      <c r="D52" s="212">
        <v>2024</v>
      </c>
      <c r="E52" s="212">
        <v>2025</v>
      </c>
      <c r="F52" s="324">
        <v>2026</v>
      </c>
      <c r="G52" s="324">
        <v>2027</v>
      </c>
      <c r="H52" s="324">
        <v>2028</v>
      </c>
      <c r="I52" s="324">
        <v>2029</v>
      </c>
      <c r="J52" s="324">
        <v>2030</v>
      </c>
      <c r="K52" s="210">
        <v>2031</v>
      </c>
      <c r="L52" s="210">
        <v>2032</v>
      </c>
      <c r="M52" s="210">
        <v>2033</v>
      </c>
      <c r="N52" s="217"/>
      <c r="O52" s="217"/>
    </row>
    <row r="53" spans="1:15">
      <c r="A53" s="87"/>
      <c r="B53" s="166"/>
      <c r="C53" s="214"/>
      <c r="D53" s="214"/>
      <c r="E53" s="214"/>
      <c r="F53" s="299"/>
      <c r="G53" s="299"/>
      <c r="H53" s="299"/>
      <c r="I53" s="299"/>
      <c r="J53" s="299"/>
      <c r="K53" s="217"/>
      <c r="L53" s="217"/>
      <c r="M53" s="217"/>
      <c r="N53" s="217"/>
      <c r="O53" s="217"/>
    </row>
    <row r="54" spans="1:15">
      <c r="B54" s="4" t="s">
        <v>156</v>
      </c>
      <c r="C54" s="315">
        <f>BalSheet!C33/IncState!C17</f>
        <v>0.25477523613061531</v>
      </c>
      <c r="D54" s="315">
        <f>BalSheet!D33/IncState!D17</f>
        <v>0.27164228342340174</v>
      </c>
      <c r="E54" s="28">
        <f>BalSheet!E33/IncState!E17</f>
        <v>0.24823676051310667</v>
      </c>
      <c r="F54" s="102">
        <f t="shared" ref="F54:M54" si="27">E54</f>
        <v>0.24823676051310667</v>
      </c>
      <c r="G54" s="102">
        <f t="shared" si="27"/>
        <v>0.24823676051310667</v>
      </c>
      <c r="H54" s="102">
        <f t="shared" si="27"/>
        <v>0.24823676051310667</v>
      </c>
      <c r="I54" s="102">
        <f t="shared" si="27"/>
        <v>0.24823676051310667</v>
      </c>
      <c r="J54" s="102">
        <f t="shared" si="27"/>
        <v>0.24823676051310667</v>
      </c>
      <c r="K54" s="102">
        <f t="shared" si="27"/>
        <v>0.24823676051310667</v>
      </c>
      <c r="L54" s="102">
        <f t="shared" si="27"/>
        <v>0.24823676051310667</v>
      </c>
      <c r="M54" s="102">
        <f t="shared" si="27"/>
        <v>0.24823676051310667</v>
      </c>
      <c r="N54" s="187"/>
      <c r="O54" s="187"/>
    </row>
    <row r="55" spans="1:15">
      <c r="B55" s="4" t="s">
        <v>67</v>
      </c>
      <c r="C55" s="315">
        <f>BalSheet!C34/IncState!C16</f>
        <v>0.14109848450619308</v>
      </c>
      <c r="D55" s="315">
        <f>BalSheet!D34/IncState!D16</f>
        <v>0.14940544539080028</v>
      </c>
      <c r="E55" s="28">
        <f>BalSheet!E34/IncState!E16</f>
        <v>0.15325188153995586</v>
      </c>
      <c r="F55" s="102">
        <f t="shared" ref="F55:M55" si="28">E55</f>
        <v>0.15325188153995586</v>
      </c>
      <c r="G55" s="102">
        <f t="shared" si="28"/>
        <v>0.15325188153995586</v>
      </c>
      <c r="H55" s="102">
        <f t="shared" si="28"/>
        <v>0.15325188153995586</v>
      </c>
      <c r="I55" s="102">
        <f t="shared" si="28"/>
        <v>0.15325188153995586</v>
      </c>
      <c r="J55" s="102">
        <f t="shared" si="28"/>
        <v>0.15325188153995586</v>
      </c>
      <c r="K55" s="102">
        <f t="shared" si="28"/>
        <v>0.15325188153995586</v>
      </c>
      <c r="L55" s="102">
        <f t="shared" si="28"/>
        <v>0.15325188153995586</v>
      </c>
      <c r="M55" s="102">
        <f t="shared" si="28"/>
        <v>0.15325188153995586</v>
      </c>
      <c r="N55" s="187"/>
      <c r="O55" s="187"/>
    </row>
    <row r="56" spans="1:15">
      <c r="B56" s="4" t="s">
        <v>68</v>
      </c>
      <c r="C56" s="315">
        <f>BalSheet!C38/IncState!C16</f>
        <v>0.16632767732600484</v>
      </c>
      <c r="D56" s="315">
        <f>BalSheet!D38/IncState!D16</f>
        <v>0.13724404253317507</v>
      </c>
      <c r="E56" s="28">
        <f>BalSheet!E38/IncState!E16</f>
        <v>0.12034209870846946</v>
      </c>
      <c r="F56" s="102">
        <f t="shared" ref="F56:M56" si="29">E56</f>
        <v>0.12034209870846946</v>
      </c>
      <c r="G56" s="102">
        <f t="shared" si="29"/>
        <v>0.12034209870846946</v>
      </c>
      <c r="H56" s="102">
        <f t="shared" si="29"/>
        <v>0.12034209870846946</v>
      </c>
      <c r="I56" s="102">
        <f t="shared" si="29"/>
        <v>0.12034209870846946</v>
      </c>
      <c r="J56" s="102">
        <f t="shared" si="29"/>
        <v>0.12034209870846946</v>
      </c>
      <c r="K56" s="102">
        <f t="shared" si="29"/>
        <v>0.12034209870846946</v>
      </c>
      <c r="L56" s="102">
        <f t="shared" si="29"/>
        <v>0.12034209870846946</v>
      </c>
      <c r="M56" s="102">
        <f t="shared" si="29"/>
        <v>0.12034209870846946</v>
      </c>
      <c r="N56" s="187"/>
      <c r="O56" s="187"/>
    </row>
    <row r="57" spans="1:15">
      <c r="F57" s="125"/>
      <c r="G57" s="32"/>
      <c r="H57" s="32"/>
      <c r="I57" s="32"/>
      <c r="J57" s="32"/>
    </row>
    <row r="58" spans="1:15">
      <c r="F58" s="126"/>
      <c r="G58" s="96"/>
      <c r="H58" s="96"/>
      <c r="I58" s="96"/>
      <c r="J58" s="96"/>
    </row>
    <row r="59" spans="1:15">
      <c r="F59" s="96"/>
      <c r="G59" s="96"/>
      <c r="H59" s="96"/>
      <c r="I59" s="96"/>
      <c r="J59" s="96"/>
    </row>
  </sheetData>
  <scenarios current="0">
    <scenario name="Pessimistic" locked="1" count="1" user="Alan Chen" comment="Created by Alan Chen on 9/28/2025">
      <inputCells r="D4" val=""/>
    </scenario>
  </scenarios>
  <dataConsolidate/>
  <conditionalFormatting sqref="D4:D5 B6 D6:E6 P6:P7 Q7:W7 D7:D8 P9:Q11 F54:O56 F58:J59 F38:O40 F11:O34 F6:N8">
    <cfRule type="expression" dxfId="8" priority="14">
      <formula>$E$10&gt;1</formula>
    </cfRule>
  </conditionalFormatting>
  <conditionalFormatting sqref="E7">
    <cfRule type="expression" dxfId="7" priority="32">
      <formula>$E$10&lt;&gt;2</formula>
    </cfRule>
  </conditionalFormatting>
  <conditionalFormatting sqref="E8">
    <cfRule type="expression" dxfId="6" priority="33">
      <formula>$E$10&lt;&gt;3</formula>
    </cfRule>
  </conditionalFormatting>
  <conditionalFormatting sqref="F44:O50">
    <cfRule type="expression" dxfId="5" priority="8">
      <formula>$E$10&gt;1</formula>
    </cfRule>
  </conditionalFormatting>
  <conditionalFormatting sqref="K36:O37">
    <cfRule type="expression" dxfId="4" priority="3">
      <formula>$E$10&gt;1</formula>
    </cfRule>
  </conditionalFormatting>
  <conditionalFormatting sqref="K42:O43">
    <cfRule type="expression" dxfId="3" priority="2">
      <formula>$E$10&gt;1</formula>
    </cfRule>
  </conditionalFormatting>
  <conditionalFormatting sqref="K52:O53">
    <cfRule type="expression" dxfId="2" priority="1">
      <formula>$E$10&gt;1</formula>
    </cfRule>
  </conditionalFormatting>
  <dataValidations count="1">
    <dataValidation type="list" allowBlank="1" showInputMessage="1" showErrorMessage="1" sqref="D4 P4" xr:uid="{FF8E3CD2-0581-4318-AB93-6B284CEDF514}">
      <formula1>"1,2,3"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>
    <pageSetUpPr autoPageBreaks="0" fitToPage="1"/>
  </sheetPr>
  <dimension ref="A1:P40"/>
  <sheetViews>
    <sheetView showGridLines="0" topLeftCell="C1" zoomScaleNormal="100" workbookViewId="0">
      <selection activeCell="F25" sqref="F25:M26"/>
    </sheetView>
  </sheetViews>
  <sheetFormatPr defaultColWidth="8.85546875" defaultRowHeight="15"/>
  <cols>
    <col min="1" max="1" width="1.7109375" style="11" customWidth="1"/>
    <col min="2" max="2" width="40.7109375" style="4" customWidth="1"/>
    <col min="3" max="8" width="11.7109375" style="4" customWidth="1"/>
    <col min="9" max="10" width="11.7109375" style="6" customWidth="1"/>
    <col min="11" max="13" width="11.7109375" style="4" customWidth="1"/>
    <col min="14" max="15" width="11.42578125" style="4" customWidth="1"/>
    <col min="16" max="256" width="8.85546875" style="4"/>
    <col min="257" max="257" width="1.7109375" style="4" customWidth="1"/>
    <col min="258" max="258" width="40.7109375" style="4" customWidth="1"/>
    <col min="259" max="266" width="10.7109375" style="4" customWidth="1"/>
    <col min="267" max="512" width="8.85546875" style="4"/>
    <col min="513" max="513" width="1.7109375" style="4" customWidth="1"/>
    <col min="514" max="514" width="40.7109375" style="4" customWidth="1"/>
    <col min="515" max="522" width="10.7109375" style="4" customWidth="1"/>
    <col min="523" max="768" width="8.85546875" style="4"/>
    <col min="769" max="769" width="1.7109375" style="4" customWidth="1"/>
    <col min="770" max="770" width="40.7109375" style="4" customWidth="1"/>
    <col min="771" max="778" width="10.7109375" style="4" customWidth="1"/>
    <col min="779" max="1024" width="8.85546875" style="4"/>
    <col min="1025" max="1025" width="1.7109375" style="4" customWidth="1"/>
    <col min="1026" max="1026" width="40.7109375" style="4" customWidth="1"/>
    <col min="1027" max="1034" width="10.7109375" style="4" customWidth="1"/>
    <col min="1035" max="1280" width="8.85546875" style="4"/>
    <col min="1281" max="1281" width="1.7109375" style="4" customWidth="1"/>
    <col min="1282" max="1282" width="40.7109375" style="4" customWidth="1"/>
    <col min="1283" max="1290" width="10.7109375" style="4" customWidth="1"/>
    <col min="1291" max="1536" width="8.85546875" style="4"/>
    <col min="1537" max="1537" width="1.7109375" style="4" customWidth="1"/>
    <col min="1538" max="1538" width="40.7109375" style="4" customWidth="1"/>
    <col min="1539" max="1546" width="10.7109375" style="4" customWidth="1"/>
    <col min="1547" max="1792" width="8.85546875" style="4"/>
    <col min="1793" max="1793" width="1.7109375" style="4" customWidth="1"/>
    <col min="1794" max="1794" width="40.7109375" style="4" customWidth="1"/>
    <col min="1795" max="1802" width="10.7109375" style="4" customWidth="1"/>
    <col min="1803" max="2048" width="8.85546875" style="4"/>
    <col min="2049" max="2049" width="1.7109375" style="4" customWidth="1"/>
    <col min="2050" max="2050" width="40.7109375" style="4" customWidth="1"/>
    <col min="2051" max="2058" width="10.7109375" style="4" customWidth="1"/>
    <col min="2059" max="2304" width="8.85546875" style="4"/>
    <col min="2305" max="2305" width="1.7109375" style="4" customWidth="1"/>
    <col min="2306" max="2306" width="40.7109375" style="4" customWidth="1"/>
    <col min="2307" max="2314" width="10.7109375" style="4" customWidth="1"/>
    <col min="2315" max="2560" width="8.85546875" style="4"/>
    <col min="2561" max="2561" width="1.7109375" style="4" customWidth="1"/>
    <col min="2562" max="2562" width="40.7109375" style="4" customWidth="1"/>
    <col min="2563" max="2570" width="10.7109375" style="4" customWidth="1"/>
    <col min="2571" max="2816" width="8.85546875" style="4"/>
    <col min="2817" max="2817" width="1.7109375" style="4" customWidth="1"/>
    <col min="2818" max="2818" width="40.7109375" style="4" customWidth="1"/>
    <col min="2819" max="2826" width="10.7109375" style="4" customWidth="1"/>
    <col min="2827" max="3072" width="8.85546875" style="4"/>
    <col min="3073" max="3073" width="1.7109375" style="4" customWidth="1"/>
    <col min="3074" max="3074" width="40.7109375" style="4" customWidth="1"/>
    <col min="3075" max="3082" width="10.7109375" style="4" customWidth="1"/>
    <col min="3083" max="3328" width="8.85546875" style="4"/>
    <col min="3329" max="3329" width="1.7109375" style="4" customWidth="1"/>
    <col min="3330" max="3330" width="40.7109375" style="4" customWidth="1"/>
    <col min="3331" max="3338" width="10.7109375" style="4" customWidth="1"/>
    <col min="3339" max="3584" width="8.85546875" style="4"/>
    <col min="3585" max="3585" width="1.7109375" style="4" customWidth="1"/>
    <col min="3586" max="3586" width="40.7109375" style="4" customWidth="1"/>
    <col min="3587" max="3594" width="10.7109375" style="4" customWidth="1"/>
    <col min="3595" max="3840" width="8.85546875" style="4"/>
    <col min="3841" max="3841" width="1.7109375" style="4" customWidth="1"/>
    <col min="3842" max="3842" width="40.7109375" style="4" customWidth="1"/>
    <col min="3843" max="3850" width="10.7109375" style="4" customWidth="1"/>
    <col min="3851" max="4096" width="8.85546875" style="4"/>
    <col min="4097" max="4097" width="1.7109375" style="4" customWidth="1"/>
    <col min="4098" max="4098" width="40.7109375" style="4" customWidth="1"/>
    <col min="4099" max="4106" width="10.7109375" style="4" customWidth="1"/>
    <col min="4107" max="4352" width="8.85546875" style="4"/>
    <col min="4353" max="4353" width="1.7109375" style="4" customWidth="1"/>
    <col min="4354" max="4354" width="40.7109375" style="4" customWidth="1"/>
    <col min="4355" max="4362" width="10.7109375" style="4" customWidth="1"/>
    <col min="4363" max="4608" width="8.85546875" style="4"/>
    <col min="4609" max="4609" width="1.7109375" style="4" customWidth="1"/>
    <col min="4610" max="4610" width="40.7109375" style="4" customWidth="1"/>
    <col min="4611" max="4618" width="10.7109375" style="4" customWidth="1"/>
    <col min="4619" max="4864" width="8.85546875" style="4"/>
    <col min="4865" max="4865" width="1.7109375" style="4" customWidth="1"/>
    <col min="4866" max="4866" width="40.7109375" style="4" customWidth="1"/>
    <col min="4867" max="4874" width="10.7109375" style="4" customWidth="1"/>
    <col min="4875" max="5120" width="8.85546875" style="4"/>
    <col min="5121" max="5121" width="1.7109375" style="4" customWidth="1"/>
    <col min="5122" max="5122" width="40.7109375" style="4" customWidth="1"/>
    <col min="5123" max="5130" width="10.7109375" style="4" customWidth="1"/>
    <col min="5131" max="5376" width="8.85546875" style="4"/>
    <col min="5377" max="5377" width="1.7109375" style="4" customWidth="1"/>
    <col min="5378" max="5378" width="40.7109375" style="4" customWidth="1"/>
    <col min="5379" max="5386" width="10.7109375" style="4" customWidth="1"/>
    <col min="5387" max="5632" width="8.85546875" style="4"/>
    <col min="5633" max="5633" width="1.7109375" style="4" customWidth="1"/>
    <col min="5634" max="5634" width="40.7109375" style="4" customWidth="1"/>
    <col min="5635" max="5642" width="10.7109375" style="4" customWidth="1"/>
    <col min="5643" max="5888" width="8.85546875" style="4"/>
    <col min="5889" max="5889" width="1.7109375" style="4" customWidth="1"/>
    <col min="5890" max="5890" width="40.7109375" style="4" customWidth="1"/>
    <col min="5891" max="5898" width="10.7109375" style="4" customWidth="1"/>
    <col min="5899" max="6144" width="8.85546875" style="4"/>
    <col min="6145" max="6145" width="1.7109375" style="4" customWidth="1"/>
    <col min="6146" max="6146" width="40.7109375" style="4" customWidth="1"/>
    <col min="6147" max="6154" width="10.7109375" style="4" customWidth="1"/>
    <col min="6155" max="6400" width="8.85546875" style="4"/>
    <col min="6401" max="6401" width="1.7109375" style="4" customWidth="1"/>
    <col min="6402" max="6402" width="40.7109375" style="4" customWidth="1"/>
    <col min="6403" max="6410" width="10.7109375" style="4" customWidth="1"/>
    <col min="6411" max="6656" width="8.85546875" style="4"/>
    <col min="6657" max="6657" width="1.7109375" style="4" customWidth="1"/>
    <col min="6658" max="6658" width="40.7109375" style="4" customWidth="1"/>
    <col min="6659" max="6666" width="10.7109375" style="4" customWidth="1"/>
    <col min="6667" max="6912" width="8.85546875" style="4"/>
    <col min="6913" max="6913" width="1.7109375" style="4" customWidth="1"/>
    <col min="6914" max="6914" width="40.7109375" style="4" customWidth="1"/>
    <col min="6915" max="6922" width="10.7109375" style="4" customWidth="1"/>
    <col min="6923" max="7168" width="8.85546875" style="4"/>
    <col min="7169" max="7169" width="1.7109375" style="4" customWidth="1"/>
    <col min="7170" max="7170" width="40.7109375" style="4" customWidth="1"/>
    <col min="7171" max="7178" width="10.7109375" style="4" customWidth="1"/>
    <col min="7179" max="7424" width="8.85546875" style="4"/>
    <col min="7425" max="7425" width="1.7109375" style="4" customWidth="1"/>
    <col min="7426" max="7426" width="40.7109375" style="4" customWidth="1"/>
    <col min="7427" max="7434" width="10.7109375" style="4" customWidth="1"/>
    <col min="7435" max="7680" width="8.85546875" style="4"/>
    <col min="7681" max="7681" width="1.7109375" style="4" customWidth="1"/>
    <col min="7682" max="7682" width="40.7109375" style="4" customWidth="1"/>
    <col min="7683" max="7690" width="10.7109375" style="4" customWidth="1"/>
    <col min="7691" max="7936" width="8.85546875" style="4"/>
    <col min="7937" max="7937" width="1.7109375" style="4" customWidth="1"/>
    <col min="7938" max="7938" width="40.7109375" style="4" customWidth="1"/>
    <col min="7939" max="7946" width="10.7109375" style="4" customWidth="1"/>
    <col min="7947" max="8192" width="8.85546875" style="4"/>
    <col min="8193" max="8193" width="1.7109375" style="4" customWidth="1"/>
    <col min="8194" max="8194" width="40.7109375" style="4" customWidth="1"/>
    <col min="8195" max="8202" width="10.7109375" style="4" customWidth="1"/>
    <col min="8203" max="8448" width="8.85546875" style="4"/>
    <col min="8449" max="8449" width="1.7109375" style="4" customWidth="1"/>
    <col min="8450" max="8450" width="40.7109375" style="4" customWidth="1"/>
    <col min="8451" max="8458" width="10.7109375" style="4" customWidth="1"/>
    <col min="8459" max="8704" width="8.85546875" style="4"/>
    <col min="8705" max="8705" width="1.7109375" style="4" customWidth="1"/>
    <col min="8706" max="8706" width="40.7109375" style="4" customWidth="1"/>
    <col min="8707" max="8714" width="10.7109375" style="4" customWidth="1"/>
    <col min="8715" max="8960" width="8.85546875" style="4"/>
    <col min="8961" max="8961" width="1.7109375" style="4" customWidth="1"/>
    <col min="8962" max="8962" width="40.7109375" style="4" customWidth="1"/>
    <col min="8963" max="8970" width="10.7109375" style="4" customWidth="1"/>
    <col min="8971" max="9216" width="8.85546875" style="4"/>
    <col min="9217" max="9217" width="1.7109375" style="4" customWidth="1"/>
    <col min="9218" max="9218" width="40.7109375" style="4" customWidth="1"/>
    <col min="9219" max="9226" width="10.7109375" style="4" customWidth="1"/>
    <col min="9227" max="9472" width="8.85546875" style="4"/>
    <col min="9473" max="9473" width="1.7109375" style="4" customWidth="1"/>
    <col min="9474" max="9474" width="40.7109375" style="4" customWidth="1"/>
    <col min="9475" max="9482" width="10.7109375" style="4" customWidth="1"/>
    <col min="9483" max="9728" width="8.85546875" style="4"/>
    <col min="9729" max="9729" width="1.7109375" style="4" customWidth="1"/>
    <col min="9730" max="9730" width="40.7109375" style="4" customWidth="1"/>
    <col min="9731" max="9738" width="10.7109375" style="4" customWidth="1"/>
    <col min="9739" max="9984" width="8.85546875" style="4"/>
    <col min="9985" max="9985" width="1.7109375" style="4" customWidth="1"/>
    <col min="9986" max="9986" width="40.7109375" style="4" customWidth="1"/>
    <col min="9987" max="9994" width="10.7109375" style="4" customWidth="1"/>
    <col min="9995" max="10240" width="8.85546875" style="4"/>
    <col min="10241" max="10241" width="1.7109375" style="4" customWidth="1"/>
    <col min="10242" max="10242" width="40.7109375" style="4" customWidth="1"/>
    <col min="10243" max="10250" width="10.7109375" style="4" customWidth="1"/>
    <col min="10251" max="10496" width="8.85546875" style="4"/>
    <col min="10497" max="10497" width="1.7109375" style="4" customWidth="1"/>
    <col min="10498" max="10498" width="40.7109375" style="4" customWidth="1"/>
    <col min="10499" max="10506" width="10.7109375" style="4" customWidth="1"/>
    <col min="10507" max="10752" width="8.85546875" style="4"/>
    <col min="10753" max="10753" width="1.7109375" style="4" customWidth="1"/>
    <col min="10754" max="10754" width="40.7109375" style="4" customWidth="1"/>
    <col min="10755" max="10762" width="10.7109375" style="4" customWidth="1"/>
    <col min="10763" max="11008" width="8.85546875" style="4"/>
    <col min="11009" max="11009" width="1.7109375" style="4" customWidth="1"/>
    <col min="11010" max="11010" width="40.7109375" style="4" customWidth="1"/>
    <col min="11011" max="11018" width="10.7109375" style="4" customWidth="1"/>
    <col min="11019" max="11264" width="8.85546875" style="4"/>
    <col min="11265" max="11265" width="1.7109375" style="4" customWidth="1"/>
    <col min="11266" max="11266" width="40.7109375" style="4" customWidth="1"/>
    <col min="11267" max="11274" width="10.7109375" style="4" customWidth="1"/>
    <col min="11275" max="11520" width="8.85546875" style="4"/>
    <col min="11521" max="11521" width="1.7109375" style="4" customWidth="1"/>
    <col min="11522" max="11522" width="40.7109375" style="4" customWidth="1"/>
    <col min="11523" max="11530" width="10.7109375" style="4" customWidth="1"/>
    <col min="11531" max="11776" width="8.85546875" style="4"/>
    <col min="11777" max="11777" width="1.7109375" style="4" customWidth="1"/>
    <col min="11778" max="11778" width="40.7109375" style="4" customWidth="1"/>
    <col min="11779" max="11786" width="10.7109375" style="4" customWidth="1"/>
    <col min="11787" max="12032" width="8.85546875" style="4"/>
    <col min="12033" max="12033" width="1.7109375" style="4" customWidth="1"/>
    <col min="12034" max="12034" width="40.7109375" style="4" customWidth="1"/>
    <col min="12035" max="12042" width="10.7109375" style="4" customWidth="1"/>
    <col min="12043" max="12288" width="8.85546875" style="4"/>
    <col min="12289" max="12289" width="1.7109375" style="4" customWidth="1"/>
    <col min="12290" max="12290" width="40.7109375" style="4" customWidth="1"/>
    <col min="12291" max="12298" width="10.7109375" style="4" customWidth="1"/>
    <col min="12299" max="12544" width="8.85546875" style="4"/>
    <col min="12545" max="12545" width="1.7109375" style="4" customWidth="1"/>
    <col min="12546" max="12546" width="40.7109375" style="4" customWidth="1"/>
    <col min="12547" max="12554" width="10.7109375" style="4" customWidth="1"/>
    <col min="12555" max="12800" width="8.85546875" style="4"/>
    <col min="12801" max="12801" width="1.7109375" style="4" customWidth="1"/>
    <col min="12802" max="12802" width="40.7109375" style="4" customWidth="1"/>
    <col min="12803" max="12810" width="10.7109375" style="4" customWidth="1"/>
    <col min="12811" max="13056" width="8.85546875" style="4"/>
    <col min="13057" max="13057" width="1.7109375" style="4" customWidth="1"/>
    <col min="13058" max="13058" width="40.7109375" style="4" customWidth="1"/>
    <col min="13059" max="13066" width="10.7109375" style="4" customWidth="1"/>
    <col min="13067" max="13312" width="8.85546875" style="4"/>
    <col min="13313" max="13313" width="1.7109375" style="4" customWidth="1"/>
    <col min="13314" max="13314" width="40.7109375" style="4" customWidth="1"/>
    <col min="13315" max="13322" width="10.7109375" style="4" customWidth="1"/>
    <col min="13323" max="13568" width="8.85546875" style="4"/>
    <col min="13569" max="13569" width="1.7109375" style="4" customWidth="1"/>
    <col min="13570" max="13570" width="40.7109375" style="4" customWidth="1"/>
    <col min="13571" max="13578" width="10.7109375" style="4" customWidth="1"/>
    <col min="13579" max="13824" width="8.85546875" style="4"/>
    <col min="13825" max="13825" width="1.7109375" style="4" customWidth="1"/>
    <col min="13826" max="13826" width="40.7109375" style="4" customWidth="1"/>
    <col min="13827" max="13834" width="10.7109375" style="4" customWidth="1"/>
    <col min="13835" max="14080" width="8.85546875" style="4"/>
    <col min="14081" max="14081" width="1.7109375" style="4" customWidth="1"/>
    <col min="14082" max="14082" width="40.7109375" style="4" customWidth="1"/>
    <col min="14083" max="14090" width="10.7109375" style="4" customWidth="1"/>
    <col min="14091" max="14336" width="8.85546875" style="4"/>
    <col min="14337" max="14337" width="1.7109375" style="4" customWidth="1"/>
    <col min="14338" max="14338" width="40.7109375" style="4" customWidth="1"/>
    <col min="14339" max="14346" width="10.7109375" style="4" customWidth="1"/>
    <col min="14347" max="14592" width="8.85546875" style="4"/>
    <col min="14593" max="14593" width="1.7109375" style="4" customWidth="1"/>
    <col min="14594" max="14594" width="40.7109375" style="4" customWidth="1"/>
    <col min="14595" max="14602" width="10.7109375" style="4" customWidth="1"/>
    <col min="14603" max="14848" width="8.85546875" style="4"/>
    <col min="14849" max="14849" width="1.7109375" style="4" customWidth="1"/>
    <col min="14850" max="14850" width="40.7109375" style="4" customWidth="1"/>
    <col min="14851" max="14858" width="10.7109375" style="4" customWidth="1"/>
    <col min="14859" max="15104" width="8.85546875" style="4"/>
    <col min="15105" max="15105" width="1.7109375" style="4" customWidth="1"/>
    <col min="15106" max="15106" width="40.7109375" style="4" customWidth="1"/>
    <col min="15107" max="15114" width="10.7109375" style="4" customWidth="1"/>
    <col min="15115" max="15360" width="8.85546875" style="4"/>
    <col min="15361" max="15361" width="1.7109375" style="4" customWidth="1"/>
    <col min="15362" max="15362" width="40.7109375" style="4" customWidth="1"/>
    <col min="15363" max="15370" width="10.7109375" style="4" customWidth="1"/>
    <col min="15371" max="15616" width="8.85546875" style="4"/>
    <col min="15617" max="15617" width="1.7109375" style="4" customWidth="1"/>
    <col min="15618" max="15618" width="40.7109375" style="4" customWidth="1"/>
    <col min="15619" max="15626" width="10.7109375" style="4" customWidth="1"/>
    <col min="15627" max="15872" width="8.85546875" style="4"/>
    <col min="15873" max="15873" width="1.7109375" style="4" customWidth="1"/>
    <col min="15874" max="15874" width="40.7109375" style="4" customWidth="1"/>
    <col min="15875" max="15882" width="10.7109375" style="4" customWidth="1"/>
    <col min="15883" max="16128" width="8.85546875" style="4"/>
    <col min="16129" max="16129" width="1.7109375" style="4" customWidth="1"/>
    <col min="16130" max="16130" width="40.7109375" style="4" customWidth="1"/>
    <col min="16131" max="16138" width="10.7109375" style="4" customWidth="1"/>
    <col min="16139" max="16384" width="8.85546875" style="4"/>
  </cols>
  <sheetData>
    <row r="1" spans="1:16" s="2" customFormat="1" ht="19.5">
      <c r="A1" s="293" t="str">
        <f>CoName</f>
        <v>Fast Retailing</v>
      </c>
      <c r="B1" s="3"/>
      <c r="C1" s="43" t="s">
        <v>0</v>
      </c>
      <c r="D1" s="43" t="s">
        <v>0</v>
      </c>
      <c r="E1" s="43" t="s">
        <v>0</v>
      </c>
      <c r="F1" s="43" t="s">
        <v>1</v>
      </c>
      <c r="G1" s="43" t="s">
        <v>1</v>
      </c>
      <c r="H1" s="43" t="s">
        <v>1</v>
      </c>
      <c r="I1" s="43" t="s">
        <v>1</v>
      </c>
      <c r="J1" s="43" t="s">
        <v>1</v>
      </c>
      <c r="K1" s="43" t="s">
        <v>1</v>
      </c>
      <c r="L1" s="43" t="s">
        <v>1</v>
      </c>
      <c r="M1" s="43" t="s">
        <v>1</v>
      </c>
      <c r="N1" s="43"/>
      <c r="O1" s="43"/>
    </row>
    <row r="2" spans="1:16">
      <c r="A2" s="22" t="s">
        <v>10</v>
      </c>
      <c r="B2" s="21"/>
      <c r="C2" s="199">
        <v>2023</v>
      </c>
      <c r="D2" s="200">
        <v>2024</v>
      </c>
      <c r="E2" s="200">
        <v>2025</v>
      </c>
      <c r="F2" s="200">
        <v>2026</v>
      </c>
      <c r="G2" s="200">
        <v>2027</v>
      </c>
      <c r="H2" s="200">
        <v>2028</v>
      </c>
      <c r="I2" s="200">
        <v>2029</v>
      </c>
      <c r="J2" s="200">
        <v>2030</v>
      </c>
      <c r="K2" s="200">
        <v>2031</v>
      </c>
      <c r="L2" s="200">
        <v>2032</v>
      </c>
      <c r="M2" s="200">
        <v>2033</v>
      </c>
      <c r="N2" s="211"/>
      <c r="O2" s="211"/>
      <c r="P2" s="211"/>
    </row>
    <row r="3" spans="1:16">
      <c r="B3" s="4" t="s">
        <v>11</v>
      </c>
      <c r="C3" s="31"/>
      <c r="D3" s="31"/>
      <c r="E3" s="42"/>
      <c r="F3" s="221">
        <f>Assumptions!F32</f>
        <v>3.3709363469441117E-2</v>
      </c>
      <c r="G3" s="221">
        <f>Assumptions!G32</f>
        <v>3.9314708207939218E-2</v>
      </c>
      <c r="H3" s="221">
        <f>Assumptions!H32</f>
        <v>3.9314708207939218E-2</v>
      </c>
      <c r="I3" s="221">
        <f>Assumptions!I32</f>
        <v>3.9314708207939218E-2</v>
      </c>
      <c r="J3" s="221">
        <f>Assumptions!J32</f>
        <v>3.9314708207939218E-2</v>
      </c>
      <c r="K3" s="221">
        <f>Assumptions!K32</f>
        <v>3.9314708207939218E-2</v>
      </c>
      <c r="L3" s="221">
        <f>Assumptions!L32</f>
        <v>3.9314708207939218E-2</v>
      </c>
      <c r="M3" s="291">
        <f>Assumptions!M32</f>
        <v>3.9314708207939218E-2</v>
      </c>
      <c r="N3" s="219"/>
      <c r="O3" s="219"/>
    </row>
    <row r="4" spans="1:16">
      <c r="B4" s="4" t="s">
        <v>136</v>
      </c>
      <c r="C4" s="31"/>
      <c r="D4" s="31"/>
      <c r="E4" s="42"/>
      <c r="F4" s="221">
        <f>Assumptions!F33</f>
        <v>0.31737129105504641</v>
      </c>
      <c r="G4" s="221">
        <f>F4</f>
        <v>0.31737129105504641</v>
      </c>
      <c r="H4" s="221">
        <f t="shared" ref="H4:J4" si="0">G4</f>
        <v>0.31737129105504641</v>
      </c>
      <c r="I4" s="221">
        <f t="shared" si="0"/>
        <v>0.31737129105504641</v>
      </c>
      <c r="J4" s="221">
        <f t="shared" si="0"/>
        <v>0.31737129105504641</v>
      </c>
      <c r="K4" s="221">
        <f t="shared" ref="K4" si="1">J4</f>
        <v>0.31737129105504641</v>
      </c>
      <c r="L4" s="221">
        <f t="shared" ref="L4" si="2">K4</f>
        <v>0.31737129105504641</v>
      </c>
      <c r="M4" s="221">
        <f t="shared" ref="M4" si="3">L4</f>
        <v>0.31737129105504641</v>
      </c>
      <c r="N4" s="219"/>
      <c r="O4" s="219"/>
    </row>
    <row r="5" spans="1:16">
      <c r="E5" s="29"/>
      <c r="F5" s="80"/>
      <c r="G5" s="68"/>
      <c r="H5" s="85"/>
      <c r="I5" s="68"/>
      <c r="J5" s="68"/>
      <c r="K5" s="68"/>
      <c r="L5" s="68"/>
      <c r="M5" s="68"/>
    </row>
    <row r="6" spans="1:16">
      <c r="B6" s="4" t="s">
        <v>12</v>
      </c>
      <c r="E6" s="29"/>
      <c r="F6" s="4">
        <f>E9</f>
        <v>809462</v>
      </c>
      <c r="G6" s="4">
        <f t="shared" ref="G6:M6" si="4">F9</f>
        <v>678933.01668673358</v>
      </c>
      <c r="H6" s="4">
        <f t="shared" si="4"/>
        <v>626191.79666995199</v>
      </c>
      <c r="I6" s="4">
        <f t="shared" si="4"/>
        <v>607419.56506518985</v>
      </c>
      <c r="J6" s="4">
        <f t="shared" si="4"/>
        <v>613980.29761756375</v>
      </c>
      <c r="K6" s="4">
        <f t="shared" si="4"/>
        <v>640281.66634884663</v>
      </c>
      <c r="L6" s="4">
        <f t="shared" si="4"/>
        <v>682856.31020017026</v>
      </c>
      <c r="M6" s="4">
        <f t="shared" si="4"/>
        <v>739742.65779976407</v>
      </c>
    </row>
    <row r="7" spans="1:16">
      <c r="B7" s="4" t="s">
        <v>13</v>
      </c>
      <c r="C7" s="13"/>
      <c r="D7" s="13"/>
      <c r="E7" s="131"/>
      <c r="F7" s="4">
        <f>F3*IncState!F16</f>
        <v>126371.01668673361</v>
      </c>
      <c r="G7" s="4">
        <f>G3*IncState!G16</f>
        <v>162732.62802898444</v>
      </c>
      <c r="H7" s="4">
        <f>H3*IncState!H16</f>
        <v>179963.06735245971</v>
      </c>
      <c r="I7" s="4">
        <f>I3*IncState!I16</f>
        <v>199338.26412920794</v>
      </c>
      <c r="J7" s="4">
        <f>J3*IncState!J16</f>
        <v>221161.08846853065</v>
      </c>
      <c r="K7" s="4">
        <f>K3*IncState!K16</f>
        <v>245781.66293933356</v>
      </c>
      <c r="L7" s="4">
        <f>L3*IncState!L16</f>
        <v>273605.33637290722</v>
      </c>
      <c r="M7" s="4">
        <f>M3*IncState!M16</f>
        <v>305102.08477034426</v>
      </c>
    </row>
    <row r="8" spans="1:16">
      <c r="B8" s="4" t="s">
        <v>14</v>
      </c>
      <c r="E8" s="29"/>
      <c r="F8" s="4">
        <f>F6*F4</f>
        <v>256899.99999999997</v>
      </c>
      <c r="G8" s="4">
        <f t="shared" ref="G8:M8" si="5">G6*G4</f>
        <v>215473.848045766</v>
      </c>
      <c r="H8" s="4">
        <f t="shared" si="5"/>
        <v>198735.29895722176</v>
      </c>
      <c r="I8" s="4">
        <f t="shared" si="5"/>
        <v>192777.53157683407</v>
      </c>
      <c r="J8" s="4">
        <f t="shared" si="5"/>
        <v>194859.71973724785</v>
      </c>
      <c r="K8" s="4">
        <f t="shared" si="5"/>
        <v>203207.01908800993</v>
      </c>
      <c r="L8" s="4">
        <f t="shared" si="5"/>
        <v>216718.98877331329</v>
      </c>
      <c r="M8" s="4">
        <f t="shared" si="5"/>
        <v>234773.08235440252</v>
      </c>
    </row>
    <row r="9" spans="1:16">
      <c r="B9" s="4" t="s">
        <v>15</v>
      </c>
      <c r="E9" s="29">
        <f>BalSheet!E24</f>
        <v>809462</v>
      </c>
      <c r="F9" s="4">
        <f>F6+F7-F8</f>
        <v>678933.01668673358</v>
      </c>
      <c r="G9" s="4">
        <f t="shared" ref="G9:M9" si="6">G6+G7-G8</f>
        <v>626191.79666995199</v>
      </c>
      <c r="H9" s="4">
        <f t="shared" si="6"/>
        <v>607419.56506518985</v>
      </c>
      <c r="I9" s="4">
        <f t="shared" si="6"/>
        <v>613980.29761756375</v>
      </c>
      <c r="J9" s="4">
        <f t="shared" si="6"/>
        <v>640281.66634884663</v>
      </c>
      <c r="K9" s="4">
        <f t="shared" si="6"/>
        <v>682856.31020017026</v>
      </c>
      <c r="L9" s="4">
        <f t="shared" si="6"/>
        <v>739742.65779976407</v>
      </c>
      <c r="M9" s="4">
        <f t="shared" si="6"/>
        <v>810071.66021570575</v>
      </c>
    </row>
    <row r="10" spans="1:16">
      <c r="A10" s="22" t="s">
        <v>16</v>
      </c>
      <c r="B10" s="44"/>
      <c r="C10" s="199">
        <v>2023</v>
      </c>
      <c r="D10" s="199">
        <v>2024</v>
      </c>
      <c r="E10" s="199">
        <v>2025</v>
      </c>
      <c r="F10" s="199">
        <v>2026</v>
      </c>
      <c r="G10" s="199">
        <v>2027</v>
      </c>
      <c r="H10" s="199">
        <v>2028</v>
      </c>
      <c r="I10" s="199">
        <v>2029</v>
      </c>
      <c r="J10" s="199">
        <v>2030</v>
      </c>
      <c r="K10" s="199">
        <v>2031</v>
      </c>
      <c r="L10" s="199">
        <v>2032</v>
      </c>
      <c r="M10" s="199">
        <v>2033</v>
      </c>
      <c r="N10" s="214"/>
      <c r="O10" s="214"/>
    </row>
    <row r="11" spans="1:16">
      <c r="B11" s="4" t="s">
        <v>17</v>
      </c>
      <c r="E11" s="29"/>
      <c r="F11" s="294">
        <f>Assumptions!F34</f>
        <v>0</v>
      </c>
      <c r="G11" s="294">
        <f>Assumptions!G34</f>
        <v>0</v>
      </c>
      <c r="H11" s="294">
        <f>Assumptions!H34</f>
        <v>0</v>
      </c>
      <c r="I11" s="294">
        <f>Assumptions!I34</f>
        <v>0</v>
      </c>
      <c r="J11" s="294">
        <f>Assumptions!J34</f>
        <v>0</v>
      </c>
      <c r="K11" s="294">
        <f>Assumptions!K34</f>
        <v>0</v>
      </c>
      <c r="L11" s="294">
        <f>Assumptions!L34</f>
        <v>0</v>
      </c>
      <c r="M11" s="294">
        <f>Assumptions!M34</f>
        <v>0</v>
      </c>
      <c r="N11" s="220"/>
      <c r="O11" s="220"/>
    </row>
    <row r="12" spans="1:16">
      <c r="E12" s="29"/>
      <c r="F12" s="80"/>
      <c r="G12" s="68"/>
      <c r="H12" s="85"/>
      <c r="I12" s="68"/>
      <c r="J12" s="68"/>
      <c r="K12" s="68"/>
      <c r="L12" s="68"/>
      <c r="M12" s="68"/>
    </row>
    <row r="13" spans="1:16">
      <c r="B13" s="4" t="s">
        <v>18</v>
      </c>
      <c r="E13" s="29"/>
      <c r="F13" s="4">
        <f>E17</f>
        <v>2327501</v>
      </c>
      <c r="G13" s="4">
        <f t="shared" ref="G13:M13" si="7">F17</f>
        <v>2581309.2927703229</v>
      </c>
      <c r="H13" s="4">
        <f t="shared" si="7"/>
        <v>2863863.2540145903</v>
      </c>
      <c r="I13" s="4">
        <f t="shared" si="7"/>
        <v>3180639.8257524711</v>
      </c>
      <c r="J13" s="4">
        <f t="shared" si="7"/>
        <v>3537879.3934967732</v>
      </c>
      <c r="K13" s="4">
        <f t="shared" si="7"/>
        <v>3942703.5735211372</v>
      </c>
      <c r="L13" s="4">
        <f t="shared" si="7"/>
        <v>4403252.6985994643</v>
      </c>
      <c r="M13" s="4">
        <f t="shared" si="7"/>
        <v>4928846.504319041</v>
      </c>
    </row>
    <row r="14" spans="1:16">
      <c r="B14" s="4" t="s">
        <v>19</v>
      </c>
      <c r="E14" s="29"/>
      <c r="F14" s="4">
        <f>IncState!F34</f>
        <v>428830.05782032304</v>
      </c>
      <c r="G14" s="4">
        <f>IncState!G34</f>
        <v>473486.7958442677</v>
      </c>
      <c r="H14" s="4">
        <f>IncState!H34</f>
        <v>523620.47588788066</v>
      </c>
      <c r="I14" s="4">
        <f>IncState!I34</f>
        <v>579994.54144430207</v>
      </c>
      <c r="J14" s="4">
        <f>IncState!J34</f>
        <v>643490.2232743639</v>
      </c>
      <c r="K14" s="4">
        <f>IncState!K34</f>
        <v>715126.23787832703</v>
      </c>
      <c r="L14" s="4">
        <f>IncState!L34</f>
        <v>796081.98806957726</v>
      </c>
      <c r="M14" s="4">
        <f>IncState!M34</f>
        <v>887724.91585145565</v>
      </c>
    </row>
    <row r="15" spans="1:16">
      <c r="B15" s="4" t="s">
        <v>20</v>
      </c>
      <c r="E15" s="29"/>
      <c r="F15" s="4">
        <f>IncState!F36</f>
        <v>175021.76504999999</v>
      </c>
      <c r="G15" s="4">
        <f>IncState!G36</f>
        <v>190932.8346</v>
      </c>
      <c r="H15" s="4">
        <f>IncState!H36</f>
        <v>206843.90414999999</v>
      </c>
      <c r="I15" s="4">
        <f>IncState!I36</f>
        <v>222754.9737</v>
      </c>
      <c r="J15" s="4">
        <f>IncState!J36</f>
        <v>238666.04324999999</v>
      </c>
      <c r="K15" s="4">
        <f>IncState!K36</f>
        <v>254577.11279999997</v>
      </c>
      <c r="L15" s="4">
        <f>IncState!L36</f>
        <v>270488.18234999996</v>
      </c>
      <c r="M15" s="4">
        <f>IncState!M36</f>
        <v>286399.25189999997</v>
      </c>
    </row>
    <row r="16" spans="1:16">
      <c r="B16" s="4" t="s">
        <v>21</v>
      </c>
      <c r="E16" s="29"/>
      <c r="F16" s="4">
        <f>F11</f>
        <v>0</v>
      </c>
      <c r="G16" s="4">
        <f t="shared" ref="G16:M16" si="8">G11</f>
        <v>0</v>
      </c>
      <c r="H16" s="4">
        <f t="shared" si="8"/>
        <v>0</v>
      </c>
      <c r="I16" s="4">
        <f t="shared" si="8"/>
        <v>0</v>
      </c>
      <c r="J16" s="4">
        <f t="shared" si="8"/>
        <v>0</v>
      </c>
      <c r="K16" s="4">
        <f t="shared" si="8"/>
        <v>0</v>
      </c>
      <c r="L16" s="4">
        <f t="shared" si="8"/>
        <v>0</v>
      </c>
      <c r="M16" s="4">
        <f t="shared" si="8"/>
        <v>0</v>
      </c>
    </row>
    <row r="17" spans="1:15">
      <c r="B17" s="4" t="s">
        <v>22</v>
      </c>
      <c r="E17" s="29">
        <f>BalSheet!E41</f>
        <v>2327501</v>
      </c>
      <c r="F17" s="4">
        <f>F13+F14-F15</f>
        <v>2581309.2927703229</v>
      </c>
      <c r="G17" s="4">
        <f t="shared" ref="G17:M17" si="9">G13+G14-G15</f>
        <v>2863863.2540145903</v>
      </c>
      <c r="H17" s="4">
        <f t="shared" si="9"/>
        <v>3180639.8257524711</v>
      </c>
      <c r="I17" s="4">
        <f t="shared" si="9"/>
        <v>3537879.3934967732</v>
      </c>
      <c r="J17" s="4">
        <f t="shared" si="9"/>
        <v>3942703.5735211372</v>
      </c>
      <c r="K17" s="4">
        <f t="shared" si="9"/>
        <v>4403252.6985994643</v>
      </c>
      <c r="L17" s="4">
        <f t="shared" si="9"/>
        <v>4928846.504319041</v>
      </c>
      <c r="M17" s="4">
        <f t="shared" si="9"/>
        <v>5530172.1682704976</v>
      </c>
    </row>
    <row r="18" spans="1:15">
      <c r="A18" s="22" t="s">
        <v>23</v>
      </c>
      <c r="B18" s="44"/>
      <c r="C18" s="199">
        <v>2023</v>
      </c>
      <c r="D18" s="199">
        <v>2024</v>
      </c>
      <c r="E18" s="199">
        <v>2025</v>
      </c>
      <c r="F18" s="199">
        <v>2026</v>
      </c>
      <c r="G18" s="199">
        <v>2027</v>
      </c>
      <c r="H18" s="199">
        <v>2028</v>
      </c>
      <c r="I18" s="199">
        <v>2029</v>
      </c>
      <c r="J18" s="199">
        <v>2030</v>
      </c>
      <c r="K18" s="199">
        <v>2031</v>
      </c>
      <c r="L18" s="199">
        <v>2032</v>
      </c>
      <c r="M18" s="199">
        <v>2033</v>
      </c>
      <c r="N18" s="214"/>
      <c r="O18" s="214"/>
    </row>
    <row r="19" spans="1:15">
      <c r="A19" s="88"/>
      <c r="B19" s="189" t="s">
        <v>160</v>
      </c>
      <c r="C19" s="214"/>
      <c r="D19" s="214"/>
      <c r="E19" s="237">
        <f>BalSheet!E17</f>
        <v>87513.767123287675</v>
      </c>
      <c r="F19" s="307">
        <f>BalSheet!F17</f>
        <v>96477.390118396055</v>
      </c>
      <c r="G19" s="307">
        <f>BalSheet!G17</f>
        <v>106524.18011639634</v>
      </c>
      <c r="H19" s="307">
        <f>BalSheet!H17</f>
        <v>117803.16235990562</v>
      </c>
      <c r="I19" s="307">
        <f>BalSheet!I17</f>
        <v>130486.0949483804</v>
      </c>
      <c r="J19" s="307">
        <f>BalSheet!J17</f>
        <v>144771.23554204454</v>
      </c>
      <c r="K19" s="307">
        <f>BalSheet!K17</f>
        <v>160887.77308748275</v>
      </c>
      <c r="L19" s="307">
        <f>BalSheet!L17</f>
        <v>179101.04743962982</v>
      </c>
      <c r="M19" s="307">
        <f>BalSheet!M17</f>
        <v>199718.70316120895</v>
      </c>
      <c r="N19" s="214"/>
      <c r="O19" s="214"/>
    </row>
    <row r="20" spans="1:15">
      <c r="B20" s="4" t="str">
        <f>BalSheet!B20</f>
        <v>Inventories</v>
      </c>
      <c r="D20" s="99"/>
      <c r="E20" s="100">
        <f>BalSheet!E20</f>
        <v>510958</v>
      </c>
      <c r="F20" s="316">
        <f>BalSheet!F20</f>
        <v>563293.02143591107</v>
      </c>
      <c r="G20" s="316">
        <f>BalSheet!G20</f>
        <v>621952.2232111732</v>
      </c>
      <c r="H20" s="316">
        <f>BalSheet!H20</f>
        <v>687805.70431043941</v>
      </c>
      <c r="I20" s="316">
        <f>BalSheet!I20</f>
        <v>761856.29180728854</v>
      </c>
      <c r="J20" s="316">
        <f>BalSheet!J20</f>
        <v>845261.53314691235</v>
      </c>
      <c r="K20" s="316">
        <f>BalSheet!K20</f>
        <v>939359.57122520567</v>
      </c>
      <c r="L20" s="316">
        <f>BalSheet!L20</f>
        <v>1045699.6196808268</v>
      </c>
      <c r="M20" s="316">
        <f>BalSheet!M20</f>
        <v>1166077.8924769855</v>
      </c>
      <c r="N20" s="99"/>
      <c r="O20" s="99"/>
    </row>
    <row r="21" spans="1:15">
      <c r="B21" s="4" t="str">
        <f>BalSheet!B19</f>
        <v>Accounts receivable</v>
      </c>
      <c r="C21" s="99"/>
      <c r="D21" s="99"/>
      <c r="E21" s="100">
        <f>BalSheet!E19</f>
        <v>104449</v>
      </c>
      <c r="F21" s="316">
        <f>BalSheet!F19</f>
        <v>115147.21913730576</v>
      </c>
      <c r="G21" s="316">
        <f>BalSheet!G19</f>
        <v>127138.21441720029</v>
      </c>
      <c r="H21" s="316">
        <f>BalSheet!H19</f>
        <v>140599.84971273781</v>
      </c>
      <c r="I21" s="316">
        <f>BalSheet!I19</f>
        <v>155737.12090422204</v>
      </c>
      <c r="J21" s="316">
        <f>BalSheet!J19</f>
        <v>172786.65149711297</v>
      </c>
      <c r="K21" s="316">
        <f>BalSheet!K19</f>
        <v>192021.98195331419</v>
      </c>
      <c r="L21" s="316">
        <f>BalSheet!L19</f>
        <v>213759.79938868299</v>
      </c>
      <c r="M21" s="316">
        <f>BalSheet!M19</f>
        <v>238367.28222540536</v>
      </c>
      <c r="N21" s="99"/>
      <c r="O21" s="99"/>
    </row>
    <row r="22" spans="1:15">
      <c r="B22" s="4" t="s">
        <v>71</v>
      </c>
      <c r="C22" s="99"/>
      <c r="D22" s="99"/>
      <c r="E22" s="100">
        <f>BalSheet!E21</f>
        <v>24662</v>
      </c>
      <c r="F22" s="316">
        <f>BalSheet!F21</f>
        <v>27188.012507197145</v>
      </c>
      <c r="G22" s="316">
        <f>BalSheet!G21</f>
        <v>30019.269154869777</v>
      </c>
      <c r="H22" s="316">
        <f>BalSheet!H21</f>
        <v>33197.76631289471</v>
      </c>
      <c r="I22" s="316">
        <f>BalSheet!I21</f>
        <v>36771.906631369602</v>
      </c>
      <c r="J22" s="316">
        <f>BalSheet!J21</f>
        <v>40797.560524483713</v>
      </c>
      <c r="K22" s="316">
        <f>BalSheet!K21</f>
        <v>45339.315062208676</v>
      </c>
      <c r="L22" s="316">
        <f>BalSheet!L21</f>
        <v>50471.944896779285</v>
      </c>
      <c r="M22" s="316">
        <f>BalSheet!M21</f>
        <v>56282.146447002335</v>
      </c>
      <c r="N22" s="99"/>
      <c r="O22" s="99"/>
    </row>
    <row r="23" spans="1:15">
      <c r="B23" s="4" t="s">
        <v>166</v>
      </c>
      <c r="C23" s="99"/>
      <c r="D23" s="99"/>
      <c r="E23" s="100">
        <f>BalSheet!E33</f>
        <v>390149</v>
      </c>
      <c r="F23" s="316">
        <f>BalSheet!F33</f>
        <v>430110.12455074443</v>
      </c>
      <c r="G23" s="316">
        <f>BalSheet!G33</f>
        <v>474900.16387573146</v>
      </c>
      <c r="H23" s="316">
        <f>BalSheet!H33</f>
        <v>525183.49400736194</v>
      </c>
      <c r="I23" s="316">
        <f>BalSheet!I33</f>
        <v>581725.83733363962</v>
      </c>
      <c r="J23" s="316">
        <f>BalSheet!J33</f>
        <v>645411.05510772846</v>
      </c>
      <c r="K23" s="316">
        <f>BalSheet!K33</f>
        <v>717260.90472004109</v>
      </c>
      <c r="L23" s="316">
        <f>BalSheet!L33</f>
        <v>798458.30952613498</v>
      </c>
      <c r="M23" s="316">
        <f>BalSheet!M33</f>
        <v>890374.7933724561</v>
      </c>
      <c r="N23" s="99"/>
      <c r="O23" s="99"/>
    </row>
    <row r="24" spans="1:15">
      <c r="B24" s="4" t="s">
        <v>77</v>
      </c>
      <c r="C24" s="99"/>
      <c r="D24" s="99"/>
      <c r="E24" s="100">
        <f>BalSheet!E34</f>
        <v>521139</v>
      </c>
      <c r="F24" s="316">
        <f>BalSheet!F34</f>
        <v>574516.81331555475</v>
      </c>
      <c r="G24" s="316">
        <f>BalSheet!G34</f>
        <v>634344.81826695648</v>
      </c>
      <c r="H24" s="316">
        <f>BalSheet!H34</f>
        <v>701510.45083673822</v>
      </c>
      <c r="I24" s="316">
        <f>BalSheet!I34</f>
        <v>777036.51974557317</v>
      </c>
      <c r="J24" s="316">
        <f>BalSheet!J34</f>
        <v>862103.63693816075</v>
      </c>
      <c r="K24" s="316">
        <f>BalSheet!K34</f>
        <v>958076.60823146405</v>
      </c>
      <c r="L24" s="316">
        <f>BalSheet!L34</f>
        <v>1066535.5158366174</v>
      </c>
      <c r="M24" s="316">
        <f>BalSheet!M34</f>
        <v>1189312.3638490126</v>
      </c>
      <c r="N24" s="99"/>
      <c r="O24" s="99"/>
    </row>
    <row r="25" spans="1:15">
      <c r="A25" s="11" t="s">
        <v>125</v>
      </c>
      <c r="B25" s="18" t="s">
        <v>23</v>
      </c>
      <c r="C25" s="19"/>
      <c r="D25" s="19"/>
      <c r="E25" s="19">
        <f>SUM(E19:E22)-SUM(E23:E24)</f>
        <v>-183705.23287671234</v>
      </c>
      <c r="F25" s="19">
        <f>SUM(F19:F22)-SUM(F23:F24)</f>
        <v>-202521.29466748924</v>
      </c>
      <c r="G25" s="19">
        <f t="shared" ref="G25:M25" si="10">SUM(G19:G22)-SUM(G23:G24)</f>
        <v>-223611.09524304839</v>
      </c>
      <c r="H25" s="19">
        <f t="shared" si="10"/>
        <v>-247287.46214812249</v>
      </c>
      <c r="I25" s="19">
        <f t="shared" si="10"/>
        <v>-273910.94278795226</v>
      </c>
      <c r="J25" s="19">
        <f t="shared" si="10"/>
        <v>-303897.71133533586</v>
      </c>
      <c r="K25" s="19">
        <f t="shared" si="10"/>
        <v>-337728.87162329396</v>
      </c>
      <c r="L25" s="19">
        <f t="shared" si="10"/>
        <v>-375961.41395683354</v>
      </c>
      <c r="M25" s="19">
        <f t="shared" si="10"/>
        <v>-419241.13291086652</v>
      </c>
      <c r="N25" s="11"/>
      <c r="O25" s="11"/>
    </row>
    <row r="26" spans="1:15" s="11" customFormat="1">
      <c r="A26" s="26"/>
      <c r="B26" s="11" t="s">
        <v>152</v>
      </c>
      <c r="F26" s="11">
        <f>E25-F25</f>
        <v>18816.061790776905</v>
      </c>
      <c r="G26" s="11">
        <f t="shared" ref="G26:M26" si="11">F25-G25</f>
        <v>21089.800575559144</v>
      </c>
      <c r="H26" s="11">
        <f t="shared" si="11"/>
        <v>23676.366905074101</v>
      </c>
      <c r="I26" s="11">
        <f t="shared" si="11"/>
        <v>26623.480639829766</v>
      </c>
      <c r="J26" s="11">
        <f t="shared" si="11"/>
        <v>29986.768547383603</v>
      </c>
      <c r="K26" s="11">
        <f t="shared" si="11"/>
        <v>33831.160287958104</v>
      </c>
      <c r="L26" s="11">
        <f t="shared" si="11"/>
        <v>38232.542333539575</v>
      </c>
      <c r="M26" s="11">
        <f t="shared" si="11"/>
        <v>43279.718954032985</v>
      </c>
    </row>
    <row r="27" spans="1:15">
      <c r="B27" s="68"/>
      <c r="C27" s="68"/>
      <c r="D27" s="68"/>
      <c r="E27" s="68"/>
      <c r="F27" s="68"/>
      <c r="G27" s="68"/>
      <c r="H27" s="85"/>
      <c r="I27" s="68"/>
      <c r="J27" s="68"/>
      <c r="K27" s="68"/>
      <c r="L27" s="68"/>
      <c r="M27" s="68"/>
    </row>
    <row r="28" spans="1:15">
      <c r="H28" s="6"/>
      <c r="I28" s="4"/>
      <c r="J28" s="4"/>
    </row>
    <row r="29" spans="1:15">
      <c r="H29" s="6"/>
      <c r="I29" s="4"/>
      <c r="J29" s="4"/>
    </row>
    <row r="30" spans="1:15">
      <c r="H30" s="6"/>
      <c r="I30" s="4"/>
      <c r="J30" s="4"/>
    </row>
    <row r="31" spans="1:15">
      <c r="H31" s="6"/>
      <c r="I31" s="4"/>
      <c r="J31" s="4"/>
    </row>
    <row r="32" spans="1:15">
      <c r="H32" s="6"/>
      <c r="I32" s="4"/>
      <c r="J32" s="4"/>
    </row>
    <row r="33" spans="8:10">
      <c r="H33" s="6"/>
      <c r="I33" s="4"/>
      <c r="J33" s="4"/>
    </row>
    <row r="34" spans="8:10">
      <c r="H34" s="6"/>
      <c r="I34" s="4"/>
      <c r="J34" s="4"/>
    </row>
    <row r="35" spans="8:10">
      <c r="H35" s="6"/>
      <c r="I35" s="4"/>
      <c r="J35" s="4"/>
    </row>
    <row r="36" spans="8:10">
      <c r="H36" s="6"/>
      <c r="I36" s="4"/>
      <c r="J36" s="4"/>
    </row>
    <row r="37" spans="8:10">
      <c r="H37" s="6"/>
      <c r="I37" s="4"/>
      <c r="J37" s="4"/>
    </row>
    <row r="38" spans="8:10">
      <c r="H38" s="6"/>
      <c r="I38" s="4"/>
      <c r="J38" s="4"/>
    </row>
    <row r="39" spans="8:10">
      <c r="H39" s="6"/>
      <c r="I39" s="4"/>
      <c r="J39" s="4"/>
    </row>
    <row r="40" spans="8:10">
      <c r="H40" s="6"/>
      <c r="I40" s="4"/>
      <c r="J40" s="4"/>
    </row>
  </sheetData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&amp;L&amp;8&amp;F &amp;A</oddHeader>
    <oddFooter>&amp;R&amp;8&amp;P of &amp;N&amp;L&amp;8© AMT Training 2008 - 2017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>
    <pageSetUpPr autoPageBreaks="0" fitToPage="1"/>
  </sheetPr>
  <dimension ref="A1:P34"/>
  <sheetViews>
    <sheetView showGridLines="0" zoomScaleNormal="100" workbookViewId="0">
      <selection activeCell="F22" sqref="F17:M22"/>
    </sheetView>
  </sheetViews>
  <sheetFormatPr defaultColWidth="8.85546875" defaultRowHeight="15"/>
  <cols>
    <col min="1" max="1" width="1.7109375" style="11" customWidth="1"/>
    <col min="2" max="2" width="40.7109375" style="4" customWidth="1"/>
    <col min="3" max="8" width="11.7109375" style="4" customWidth="1"/>
    <col min="9" max="10" width="11.7109375" style="6" customWidth="1"/>
    <col min="11" max="13" width="11.7109375" style="4" customWidth="1"/>
    <col min="14" max="15" width="11.42578125" style="4" customWidth="1"/>
    <col min="16" max="256" width="8.85546875" style="4"/>
    <col min="257" max="257" width="1.7109375" style="4" customWidth="1"/>
    <col min="258" max="258" width="40.7109375" style="4" customWidth="1"/>
    <col min="259" max="264" width="10.7109375" style="4" customWidth="1"/>
    <col min="265" max="266" width="9.42578125" style="4" bestFit="1" customWidth="1"/>
    <col min="267" max="512" width="8.85546875" style="4"/>
    <col min="513" max="513" width="1.7109375" style="4" customWidth="1"/>
    <col min="514" max="514" width="40.7109375" style="4" customWidth="1"/>
    <col min="515" max="520" width="10.7109375" style="4" customWidth="1"/>
    <col min="521" max="522" width="9.42578125" style="4" bestFit="1" customWidth="1"/>
    <col min="523" max="768" width="8.85546875" style="4"/>
    <col min="769" max="769" width="1.7109375" style="4" customWidth="1"/>
    <col min="770" max="770" width="40.7109375" style="4" customWidth="1"/>
    <col min="771" max="776" width="10.7109375" style="4" customWidth="1"/>
    <col min="777" max="778" width="9.42578125" style="4" bestFit="1" customWidth="1"/>
    <col min="779" max="1024" width="8.85546875" style="4"/>
    <col min="1025" max="1025" width="1.7109375" style="4" customWidth="1"/>
    <col min="1026" max="1026" width="40.7109375" style="4" customWidth="1"/>
    <col min="1027" max="1032" width="10.7109375" style="4" customWidth="1"/>
    <col min="1033" max="1034" width="9.42578125" style="4" bestFit="1" customWidth="1"/>
    <col min="1035" max="1280" width="8.85546875" style="4"/>
    <col min="1281" max="1281" width="1.7109375" style="4" customWidth="1"/>
    <col min="1282" max="1282" width="40.7109375" style="4" customWidth="1"/>
    <col min="1283" max="1288" width="10.7109375" style="4" customWidth="1"/>
    <col min="1289" max="1290" width="9.42578125" style="4" bestFit="1" customWidth="1"/>
    <col min="1291" max="1536" width="8.85546875" style="4"/>
    <col min="1537" max="1537" width="1.7109375" style="4" customWidth="1"/>
    <col min="1538" max="1538" width="40.7109375" style="4" customWidth="1"/>
    <col min="1539" max="1544" width="10.7109375" style="4" customWidth="1"/>
    <col min="1545" max="1546" width="9.42578125" style="4" bestFit="1" customWidth="1"/>
    <col min="1547" max="1792" width="8.85546875" style="4"/>
    <col min="1793" max="1793" width="1.7109375" style="4" customWidth="1"/>
    <col min="1794" max="1794" width="40.7109375" style="4" customWidth="1"/>
    <col min="1795" max="1800" width="10.7109375" style="4" customWidth="1"/>
    <col min="1801" max="1802" width="9.42578125" style="4" bestFit="1" customWidth="1"/>
    <col min="1803" max="2048" width="8.85546875" style="4"/>
    <col min="2049" max="2049" width="1.7109375" style="4" customWidth="1"/>
    <col min="2050" max="2050" width="40.7109375" style="4" customWidth="1"/>
    <col min="2051" max="2056" width="10.7109375" style="4" customWidth="1"/>
    <col min="2057" max="2058" width="9.42578125" style="4" bestFit="1" customWidth="1"/>
    <col min="2059" max="2304" width="8.85546875" style="4"/>
    <col min="2305" max="2305" width="1.7109375" style="4" customWidth="1"/>
    <col min="2306" max="2306" width="40.7109375" style="4" customWidth="1"/>
    <col min="2307" max="2312" width="10.7109375" style="4" customWidth="1"/>
    <col min="2313" max="2314" width="9.42578125" style="4" bestFit="1" customWidth="1"/>
    <col min="2315" max="2560" width="8.85546875" style="4"/>
    <col min="2561" max="2561" width="1.7109375" style="4" customWidth="1"/>
    <col min="2562" max="2562" width="40.7109375" style="4" customWidth="1"/>
    <col min="2563" max="2568" width="10.7109375" style="4" customWidth="1"/>
    <col min="2569" max="2570" width="9.42578125" style="4" bestFit="1" customWidth="1"/>
    <col min="2571" max="2816" width="8.85546875" style="4"/>
    <col min="2817" max="2817" width="1.7109375" style="4" customWidth="1"/>
    <col min="2818" max="2818" width="40.7109375" style="4" customWidth="1"/>
    <col min="2819" max="2824" width="10.7109375" style="4" customWidth="1"/>
    <col min="2825" max="2826" width="9.42578125" style="4" bestFit="1" customWidth="1"/>
    <col min="2827" max="3072" width="8.85546875" style="4"/>
    <col min="3073" max="3073" width="1.7109375" style="4" customWidth="1"/>
    <col min="3074" max="3074" width="40.7109375" style="4" customWidth="1"/>
    <col min="3075" max="3080" width="10.7109375" style="4" customWidth="1"/>
    <col min="3081" max="3082" width="9.42578125" style="4" bestFit="1" customWidth="1"/>
    <col min="3083" max="3328" width="8.85546875" style="4"/>
    <col min="3329" max="3329" width="1.7109375" style="4" customWidth="1"/>
    <col min="3330" max="3330" width="40.7109375" style="4" customWidth="1"/>
    <col min="3331" max="3336" width="10.7109375" style="4" customWidth="1"/>
    <col min="3337" max="3338" width="9.42578125" style="4" bestFit="1" customWidth="1"/>
    <col min="3339" max="3584" width="8.85546875" style="4"/>
    <col min="3585" max="3585" width="1.7109375" style="4" customWidth="1"/>
    <col min="3586" max="3586" width="40.7109375" style="4" customWidth="1"/>
    <col min="3587" max="3592" width="10.7109375" style="4" customWidth="1"/>
    <col min="3593" max="3594" width="9.42578125" style="4" bestFit="1" customWidth="1"/>
    <col min="3595" max="3840" width="8.85546875" style="4"/>
    <col min="3841" max="3841" width="1.7109375" style="4" customWidth="1"/>
    <col min="3842" max="3842" width="40.7109375" style="4" customWidth="1"/>
    <col min="3843" max="3848" width="10.7109375" style="4" customWidth="1"/>
    <col min="3849" max="3850" width="9.42578125" style="4" bestFit="1" customWidth="1"/>
    <col min="3851" max="4096" width="8.85546875" style="4"/>
    <col min="4097" max="4097" width="1.7109375" style="4" customWidth="1"/>
    <col min="4098" max="4098" width="40.7109375" style="4" customWidth="1"/>
    <col min="4099" max="4104" width="10.7109375" style="4" customWidth="1"/>
    <col min="4105" max="4106" width="9.42578125" style="4" bestFit="1" customWidth="1"/>
    <col min="4107" max="4352" width="8.85546875" style="4"/>
    <col min="4353" max="4353" width="1.7109375" style="4" customWidth="1"/>
    <col min="4354" max="4354" width="40.7109375" style="4" customWidth="1"/>
    <col min="4355" max="4360" width="10.7109375" style="4" customWidth="1"/>
    <col min="4361" max="4362" width="9.42578125" style="4" bestFit="1" customWidth="1"/>
    <col min="4363" max="4608" width="8.85546875" style="4"/>
    <col min="4609" max="4609" width="1.7109375" style="4" customWidth="1"/>
    <col min="4610" max="4610" width="40.7109375" style="4" customWidth="1"/>
    <col min="4611" max="4616" width="10.7109375" style="4" customWidth="1"/>
    <col min="4617" max="4618" width="9.42578125" style="4" bestFit="1" customWidth="1"/>
    <col min="4619" max="4864" width="8.85546875" style="4"/>
    <col min="4865" max="4865" width="1.7109375" style="4" customWidth="1"/>
    <col min="4866" max="4866" width="40.7109375" style="4" customWidth="1"/>
    <col min="4867" max="4872" width="10.7109375" style="4" customWidth="1"/>
    <col min="4873" max="4874" width="9.42578125" style="4" bestFit="1" customWidth="1"/>
    <col min="4875" max="5120" width="8.85546875" style="4"/>
    <col min="5121" max="5121" width="1.7109375" style="4" customWidth="1"/>
    <col min="5122" max="5122" width="40.7109375" style="4" customWidth="1"/>
    <col min="5123" max="5128" width="10.7109375" style="4" customWidth="1"/>
    <col min="5129" max="5130" width="9.42578125" style="4" bestFit="1" customWidth="1"/>
    <col min="5131" max="5376" width="8.85546875" style="4"/>
    <col min="5377" max="5377" width="1.7109375" style="4" customWidth="1"/>
    <col min="5378" max="5378" width="40.7109375" style="4" customWidth="1"/>
    <col min="5379" max="5384" width="10.7109375" style="4" customWidth="1"/>
    <col min="5385" max="5386" width="9.42578125" style="4" bestFit="1" customWidth="1"/>
    <col min="5387" max="5632" width="8.85546875" style="4"/>
    <col min="5633" max="5633" width="1.7109375" style="4" customWidth="1"/>
    <col min="5634" max="5634" width="40.7109375" style="4" customWidth="1"/>
    <col min="5635" max="5640" width="10.7109375" style="4" customWidth="1"/>
    <col min="5641" max="5642" width="9.42578125" style="4" bestFit="1" customWidth="1"/>
    <col min="5643" max="5888" width="8.85546875" style="4"/>
    <col min="5889" max="5889" width="1.7109375" style="4" customWidth="1"/>
    <col min="5890" max="5890" width="40.7109375" style="4" customWidth="1"/>
    <col min="5891" max="5896" width="10.7109375" style="4" customWidth="1"/>
    <col min="5897" max="5898" width="9.42578125" style="4" bestFit="1" customWidth="1"/>
    <col min="5899" max="6144" width="8.85546875" style="4"/>
    <col min="6145" max="6145" width="1.7109375" style="4" customWidth="1"/>
    <col min="6146" max="6146" width="40.7109375" style="4" customWidth="1"/>
    <col min="6147" max="6152" width="10.7109375" style="4" customWidth="1"/>
    <col min="6153" max="6154" width="9.42578125" style="4" bestFit="1" customWidth="1"/>
    <col min="6155" max="6400" width="8.85546875" style="4"/>
    <col min="6401" max="6401" width="1.7109375" style="4" customWidth="1"/>
    <col min="6402" max="6402" width="40.7109375" style="4" customWidth="1"/>
    <col min="6403" max="6408" width="10.7109375" style="4" customWidth="1"/>
    <col min="6409" max="6410" width="9.42578125" style="4" bestFit="1" customWidth="1"/>
    <col min="6411" max="6656" width="8.85546875" style="4"/>
    <col min="6657" max="6657" width="1.7109375" style="4" customWidth="1"/>
    <col min="6658" max="6658" width="40.7109375" style="4" customWidth="1"/>
    <col min="6659" max="6664" width="10.7109375" style="4" customWidth="1"/>
    <col min="6665" max="6666" width="9.42578125" style="4" bestFit="1" customWidth="1"/>
    <col min="6667" max="6912" width="8.85546875" style="4"/>
    <col min="6913" max="6913" width="1.7109375" style="4" customWidth="1"/>
    <col min="6914" max="6914" width="40.7109375" style="4" customWidth="1"/>
    <col min="6915" max="6920" width="10.7109375" style="4" customWidth="1"/>
    <col min="6921" max="6922" width="9.42578125" style="4" bestFit="1" customWidth="1"/>
    <col min="6923" max="7168" width="8.85546875" style="4"/>
    <col min="7169" max="7169" width="1.7109375" style="4" customWidth="1"/>
    <col min="7170" max="7170" width="40.7109375" style="4" customWidth="1"/>
    <col min="7171" max="7176" width="10.7109375" style="4" customWidth="1"/>
    <col min="7177" max="7178" width="9.42578125" style="4" bestFit="1" customWidth="1"/>
    <col min="7179" max="7424" width="8.85546875" style="4"/>
    <col min="7425" max="7425" width="1.7109375" style="4" customWidth="1"/>
    <col min="7426" max="7426" width="40.7109375" style="4" customWidth="1"/>
    <col min="7427" max="7432" width="10.7109375" style="4" customWidth="1"/>
    <col min="7433" max="7434" width="9.42578125" style="4" bestFit="1" customWidth="1"/>
    <col min="7435" max="7680" width="8.85546875" style="4"/>
    <col min="7681" max="7681" width="1.7109375" style="4" customWidth="1"/>
    <col min="7682" max="7682" width="40.7109375" style="4" customWidth="1"/>
    <col min="7683" max="7688" width="10.7109375" style="4" customWidth="1"/>
    <col min="7689" max="7690" width="9.42578125" style="4" bestFit="1" customWidth="1"/>
    <col min="7691" max="7936" width="8.85546875" style="4"/>
    <col min="7937" max="7937" width="1.7109375" style="4" customWidth="1"/>
    <col min="7938" max="7938" width="40.7109375" style="4" customWidth="1"/>
    <col min="7939" max="7944" width="10.7109375" style="4" customWidth="1"/>
    <col min="7945" max="7946" width="9.42578125" style="4" bestFit="1" customWidth="1"/>
    <col min="7947" max="8192" width="8.85546875" style="4"/>
    <col min="8193" max="8193" width="1.7109375" style="4" customWidth="1"/>
    <col min="8194" max="8194" width="40.7109375" style="4" customWidth="1"/>
    <col min="8195" max="8200" width="10.7109375" style="4" customWidth="1"/>
    <col min="8201" max="8202" width="9.42578125" style="4" bestFit="1" customWidth="1"/>
    <col min="8203" max="8448" width="8.85546875" style="4"/>
    <col min="8449" max="8449" width="1.7109375" style="4" customWidth="1"/>
    <col min="8450" max="8450" width="40.7109375" style="4" customWidth="1"/>
    <col min="8451" max="8456" width="10.7109375" style="4" customWidth="1"/>
    <col min="8457" max="8458" width="9.42578125" style="4" bestFit="1" customWidth="1"/>
    <col min="8459" max="8704" width="8.85546875" style="4"/>
    <col min="8705" max="8705" width="1.7109375" style="4" customWidth="1"/>
    <col min="8706" max="8706" width="40.7109375" style="4" customWidth="1"/>
    <col min="8707" max="8712" width="10.7109375" style="4" customWidth="1"/>
    <col min="8713" max="8714" width="9.42578125" style="4" bestFit="1" customWidth="1"/>
    <col min="8715" max="8960" width="8.85546875" style="4"/>
    <col min="8961" max="8961" width="1.7109375" style="4" customWidth="1"/>
    <col min="8962" max="8962" width="40.7109375" style="4" customWidth="1"/>
    <col min="8963" max="8968" width="10.7109375" style="4" customWidth="1"/>
    <col min="8969" max="8970" width="9.42578125" style="4" bestFit="1" customWidth="1"/>
    <col min="8971" max="9216" width="8.85546875" style="4"/>
    <col min="9217" max="9217" width="1.7109375" style="4" customWidth="1"/>
    <col min="9218" max="9218" width="40.7109375" style="4" customWidth="1"/>
    <col min="9219" max="9224" width="10.7109375" style="4" customWidth="1"/>
    <col min="9225" max="9226" width="9.42578125" style="4" bestFit="1" customWidth="1"/>
    <col min="9227" max="9472" width="8.85546875" style="4"/>
    <col min="9473" max="9473" width="1.7109375" style="4" customWidth="1"/>
    <col min="9474" max="9474" width="40.7109375" style="4" customWidth="1"/>
    <col min="9475" max="9480" width="10.7109375" style="4" customWidth="1"/>
    <col min="9481" max="9482" width="9.42578125" style="4" bestFit="1" customWidth="1"/>
    <col min="9483" max="9728" width="8.85546875" style="4"/>
    <col min="9729" max="9729" width="1.7109375" style="4" customWidth="1"/>
    <col min="9730" max="9730" width="40.7109375" style="4" customWidth="1"/>
    <col min="9731" max="9736" width="10.7109375" style="4" customWidth="1"/>
    <col min="9737" max="9738" width="9.42578125" style="4" bestFit="1" customWidth="1"/>
    <col min="9739" max="9984" width="8.85546875" style="4"/>
    <col min="9985" max="9985" width="1.7109375" style="4" customWidth="1"/>
    <col min="9986" max="9986" width="40.7109375" style="4" customWidth="1"/>
    <col min="9987" max="9992" width="10.7109375" style="4" customWidth="1"/>
    <col min="9993" max="9994" width="9.42578125" style="4" bestFit="1" customWidth="1"/>
    <col min="9995" max="10240" width="8.85546875" style="4"/>
    <col min="10241" max="10241" width="1.7109375" style="4" customWidth="1"/>
    <col min="10242" max="10242" width="40.7109375" style="4" customWidth="1"/>
    <col min="10243" max="10248" width="10.7109375" style="4" customWidth="1"/>
    <col min="10249" max="10250" width="9.42578125" style="4" bestFit="1" customWidth="1"/>
    <col min="10251" max="10496" width="8.85546875" style="4"/>
    <col min="10497" max="10497" width="1.7109375" style="4" customWidth="1"/>
    <col min="10498" max="10498" width="40.7109375" style="4" customWidth="1"/>
    <col min="10499" max="10504" width="10.7109375" style="4" customWidth="1"/>
    <col min="10505" max="10506" width="9.42578125" style="4" bestFit="1" customWidth="1"/>
    <col min="10507" max="10752" width="8.85546875" style="4"/>
    <col min="10753" max="10753" width="1.7109375" style="4" customWidth="1"/>
    <col min="10754" max="10754" width="40.7109375" style="4" customWidth="1"/>
    <col min="10755" max="10760" width="10.7109375" style="4" customWidth="1"/>
    <col min="10761" max="10762" width="9.42578125" style="4" bestFit="1" customWidth="1"/>
    <col min="10763" max="11008" width="8.85546875" style="4"/>
    <col min="11009" max="11009" width="1.7109375" style="4" customWidth="1"/>
    <col min="11010" max="11010" width="40.7109375" style="4" customWidth="1"/>
    <col min="11011" max="11016" width="10.7109375" style="4" customWidth="1"/>
    <col min="11017" max="11018" width="9.42578125" style="4" bestFit="1" customWidth="1"/>
    <col min="11019" max="11264" width="8.85546875" style="4"/>
    <col min="11265" max="11265" width="1.7109375" style="4" customWidth="1"/>
    <col min="11266" max="11266" width="40.7109375" style="4" customWidth="1"/>
    <col min="11267" max="11272" width="10.7109375" style="4" customWidth="1"/>
    <col min="11273" max="11274" width="9.42578125" style="4" bestFit="1" customWidth="1"/>
    <col min="11275" max="11520" width="8.85546875" style="4"/>
    <col min="11521" max="11521" width="1.7109375" style="4" customWidth="1"/>
    <col min="11522" max="11522" width="40.7109375" style="4" customWidth="1"/>
    <col min="11523" max="11528" width="10.7109375" style="4" customWidth="1"/>
    <col min="11529" max="11530" width="9.42578125" style="4" bestFit="1" customWidth="1"/>
    <col min="11531" max="11776" width="8.85546875" style="4"/>
    <col min="11777" max="11777" width="1.7109375" style="4" customWidth="1"/>
    <col min="11778" max="11778" width="40.7109375" style="4" customWidth="1"/>
    <col min="11779" max="11784" width="10.7109375" style="4" customWidth="1"/>
    <col min="11785" max="11786" width="9.42578125" style="4" bestFit="1" customWidth="1"/>
    <col min="11787" max="12032" width="8.85546875" style="4"/>
    <col min="12033" max="12033" width="1.7109375" style="4" customWidth="1"/>
    <col min="12034" max="12034" width="40.7109375" style="4" customWidth="1"/>
    <col min="12035" max="12040" width="10.7109375" style="4" customWidth="1"/>
    <col min="12041" max="12042" width="9.42578125" style="4" bestFit="1" customWidth="1"/>
    <col min="12043" max="12288" width="8.85546875" style="4"/>
    <col min="12289" max="12289" width="1.7109375" style="4" customWidth="1"/>
    <col min="12290" max="12290" width="40.7109375" style="4" customWidth="1"/>
    <col min="12291" max="12296" width="10.7109375" style="4" customWidth="1"/>
    <col min="12297" max="12298" width="9.42578125" style="4" bestFit="1" customWidth="1"/>
    <col min="12299" max="12544" width="8.85546875" style="4"/>
    <col min="12545" max="12545" width="1.7109375" style="4" customWidth="1"/>
    <col min="12546" max="12546" width="40.7109375" style="4" customWidth="1"/>
    <col min="12547" max="12552" width="10.7109375" style="4" customWidth="1"/>
    <col min="12553" max="12554" width="9.42578125" style="4" bestFit="1" customWidth="1"/>
    <col min="12555" max="12800" width="8.85546875" style="4"/>
    <col min="12801" max="12801" width="1.7109375" style="4" customWidth="1"/>
    <col min="12802" max="12802" width="40.7109375" style="4" customWidth="1"/>
    <col min="12803" max="12808" width="10.7109375" style="4" customWidth="1"/>
    <col min="12809" max="12810" width="9.42578125" style="4" bestFit="1" customWidth="1"/>
    <col min="12811" max="13056" width="8.85546875" style="4"/>
    <col min="13057" max="13057" width="1.7109375" style="4" customWidth="1"/>
    <col min="13058" max="13058" width="40.7109375" style="4" customWidth="1"/>
    <col min="13059" max="13064" width="10.7109375" style="4" customWidth="1"/>
    <col min="13065" max="13066" width="9.42578125" style="4" bestFit="1" customWidth="1"/>
    <col min="13067" max="13312" width="8.85546875" style="4"/>
    <col min="13313" max="13313" width="1.7109375" style="4" customWidth="1"/>
    <col min="13314" max="13314" width="40.7109375" style="4" customWidth="1"/>
    <col min="13315" max="13320" width="10.7109375" style="4" customWidth="1"/>
    <col min="13321" max="13322" width="9.42578125" style="4" bestFit="1" customWidth="1"/>
    <col min="13323" max="13568" width="8.85546875" style="4"/>
    <col min="13569" max="13569" width="1.7109375" style="4" customWidth="1"/>
    <col min="13570" max="13570" width="40.7109375" style="4" customWidth="1"/>
    <col min="13571" max="13576" width="10.7109375" style="4" customWidth="1"/>
    <col min="13577" max="13578" width="9.42578125" style="4" bestFit="1" customWidth="1"/>
    <col min="13579" max="13824" width="8.85546875" style="4"/>
    <col min="13825" max="13825" width="1.7109375" style="4" customWidth="1"/>
    <col min="13826" max="13826" width="40.7109375" style="4" customWidth="1"/>
    <col min="13827" max="13832" width="10.7109375" style="4" customWidth="1"/>
    <col min="13833" max="13834" width="9.42578125" style="4" bestFit="1" customWidth="1"/>
    <col min="13835" max="14080" width="8.85546875" style="4"/>
    <col min="14081" max="14081" width="1.7109375" style="4" customWidth="1"/>
    <col min="14082" max="14082" width="40.7109375" style="4" customWidth="1"/>
    <col min="14083" max="14088" width="10.7109375" style="4" customWidth="1"/>
    <col min="14089" max="14090" width="9.42578125" style="4" bestFit="1" customWidth="1"/>
    <col min="14091" max="14336" width="8.85546875" style="4"/>
    <col min="14337" max="14337" width="1.7109375" style="4" customWidth="1"/>
    <col min="14338" max="14338" width="40.7109375" style="4" customWidth="1"/>
    <col min="14339" max="14344" width="10.7109375" style="4" customWidth="1"/>
    <col min="14345" max="14346" width="9.42578125" style="4" bestFit="1" customWidth="1"/>
    <col min="14347" max="14592" width="8.85546875" style="4"/>
    <col min="14593" max="14593" width="1.7109375" style="4" customWidth="1"/>
    <col min="14594" max="14594" width="40.7109375" style="4" customWidth="1"/>
    <col min="14595" max="14600" width="10.7109375" style="4" customWidth="1"/>
    <col min="14601" max="14602" width="9.42578125" style="4" bestFit="1" customWidth="1"/>
    <col min="14603" max="14848" width="8.85546875" style="4"/>
    <col min="14849" max="14849" width="1.7109375" style="4" customWidth="1"/>
    <col min="14850" max="14850" width="40.7109375" style="4" customWidth="1"/>
    <col min="14851" max="14856" width="10.7109375" style="4" customWidth="1"/>
    <col min="14857" max="14858" width="9.42578125" style="4" bestFit="1" customWidth="1"/>
    <col min="14859" max="15104" width="8.85546875" style="4"/>
    <col min="15105" max="15105" width="1.7109375" style="4" customWidth="1"/>
    <col min="15106" max="15106" width="40.7109375" style="4" customWidth="1"/>
    <col min="15107" max="15112" width="10.7109375" style="4" customWidth="1"/>
    <col min="15113" max="15114" width="9.42578125" style="4" bestFit="1" customWidth="1"/>
    <col min="15115" max="15360" width="8.85546875" style="4"/>
    <col min="15361" max="15361" width="1.7109375" style="4" customWidth="1"/>
    <col min="15362" max="15362" width="40.7109375" style="4" customWidth="1"/>
    <col min="15363" max="15368" width="10.7109375" style="4" customWidth="1"/>
    <col min="15369" max="15370" width="9.42578125" style="4" bestFit="1" customWidth="1"/>
    <col min="15371" max="15616" width="8.85546875" style="4"/>
    <col min="15617" max="15617" width="1.7109375" style="4" customWidth="1"/>
    <col min="15618" max="15618" width="40.7109375" style="4" customWidth="1"/>
    <col min="15619" max="15624" width="10.7109375" style="4" customWidth="1"/>
    <col min="15625" max="15626" width="9.42578125" style="4" bestFit="1" customWidth="1"/>
    <col min="15627" max="15872" width="8.85546875" style="4"/>
    <col min="15873" max="15873" width="1.7109375" style="4" customWidth="1"/>
    <col min="15874" max="15874" width="40.7109375" style="4" customWidth="1"/>
    <col min="15875" max="15880" width="10.7109375" style="4" customWidth="1"/>
    <col min="15881" max="15882" width="9.42578125" style="4" bestFit="1" customWidth="1"/>
    <col min="15883" max="16128" width="8.85546875" style="4"/>
    <col min="16129" max="16129" width="1.7109375" style="4" customWidth="1"/>
    <col min="16130" max="16130" width="40.7109375" style="4" customWidth="1"/>
    <col min="16131" max="16136" width="10.7109375" style="4" customWidth="1"/>
    <col min="16137" max="16138" width="9.42578125" style="4" bestFit="1" customWidth="1"/>
    <col min="16139" max="16384" width="8.85546875" style="4"/>
  </cols>
  <sheetData>
    <row r="1" spans="1:16" s="2" customFormat="1" ht="19.5">
      <c r="A1" s="293" t="str">
        <f>CoName</f>
        <v>Fast Retailing</v>
      </c>
      <c r="B1" s="3"/>
      <c r="C1" s="43" t="s">
        <v>0</v>
      </c>
      <c r="D1" s="43" t="s">
        <v>0</v>
      </c>
      <c r="E1" s="43" t="s">
        <v>0</v>
      </c>
      <c r="F1" s="43" t="s">
        <v>1</v>
      </c>
      <c r="G1" s="43" t="s">
        <v>1</v>
      </c>
      <c r="H1" s="43" t="s">
        <v>1</v>
      </c>
      <c r="I1" s="43" t="s">
        <v>1</v>
      </c>
      <c r="J1" s="43" t="s">
        <v>1</v>
      </c>
      <c r="K1" s="43" t="s">
        <v>1</v>
      </c>
      <c r="L1" s="43" t="s">
        <v>1</v>
      </c>
      <c r="M1" s="43" t="s">
        <v>1</v>
      </c>
      <c r="N1" s="43"/>
      <c r="O1" s="43"/>
    </row>
    <row r="2" spans="1:16" s="2" customFormat="1">
      <c r="A2" s="17" t="s">
        <v>9</v>
      </c>
      <c r="B2" s="213"/>
      <c r="C2" s="109">
        <v>45291</v>
      </c>
      <c r="D2" s="109">
        <f>C2+365</f>
        <v>45656</v>
      </c>
      <c r="E2" s="109">
        <f t="shared" ref="E2:M2" si="0">D2+365</f>
        <v>46021</v>
      </c>
      <c r="F2" s="109">
        <f t="shared" si="0"/>
        <v>46386</v>
      </c>
      <c r="G2" s="109">
        <f t="shared" si="0"/>
        <v>46751</v>
      </c>
      <c r="H2" s="109">
        <f t="shared" si="0"/>
        <v>47116</v>
      </c>
      <c r="I2" s="109">
        <f t="shared" si="0"/>
        <v>47481</v>
      </c>
      <c r="J2" s="109">
        <f t="shared" si="0"/>
        <v>47846</v>
      </c>
      <c r="K2" s="109">
        <f t="shared" si="0"/>
        <v>48211</v>
      </c>
      <c r="L2" s="109">
        <f t="shared" si="0"/>
        <v>48576</v>
      </c>
      <c r="M2" s="109">
        <f t="shared" si="0"/>
        <v>48941</v>
      </c>
      <c r="N2" s="222"/>
      <c r="O2" s="222"/>
    </row>
    <row r="3" spans="1:16" s="2" customFormat="1">
      <c r="A3" s="88"/>
      <c r="B3" s="11"/>
      <c r="C3" s="214"/>
      <c r="D3" s="323" t="s">
        <v>206</v>
      </c>
      <c r="E3" s="214"/>
      <c r="F3" s="214"/>
      <c r="G3" s="214"/>
      <c r="H3" s="214"/>
      <c r="I3" s="214"/>
      <c r="J3" s="214"/>
      <c r="K3" s="222"/>
      <c r="L3" s="222"/>
      <c r="M3" s="222"/>
      <c r="N3" s="222"/>
      <c r="O3" s="222"/>
    </row>
    <row r="4" spans="1:16" s="2" customFormat="1">
      <c r="A4" s="11"/>
      <c r="B4" s="4" t="s">
        <v>24</v>
      </c>
      <c r="C4" s="32"/>
      <c r="D4" s="58"/>
      <c r="E4" s="62"/>
      <c r="F4" s="113">
        <f>Assumptions!F23</f>
        <v>0</v>
      </c>
      <c r="G4" s="113">
        <f>Assumptions!G23</f>
        <v>0</v>
      </c>
      <c r="H4" s="113">
        <f>Assumptions!H23</f>
        <v>0</v>
      </c>
      <c r="I4" s="113">
        <f>Assumptions!I23</f>
        <v>0</v>
      </c>
      <c r="J4" s="113">
        <f>Assumptions!J23</f>
        <v>0</v>
      </c>
      <c r="K4" s="113">
        <f>Assumptions!K23</f>
        <v>0</v>
      </c>
      <c r="L4" s="113">
        <f>Assumptions!L23</f>
        <v>0</v>
      </c>
      <c r="M4" s="113">
        <f>Assumptions!M23</f>
        <v>0</v>
      </c>
      <c r="N4" s="31"/>
      <c r="O4" s="31"/>
    </row>
    <row r="5" spans="1:16" s="2" customFormat="1">
      <c r="A5" s="11"/>
      <c r="B5" s="4" t="s">
        <v>25</v>
      </c>
      <c r="C5" s="32"/>
      <c r="D5" s="59"/>
      <c r="E5" s="63"/>
      <c r="F5" s="113">
        <f>Assumptions!F24</f>
        <v>4.9282922999168692E-2</v>
      </c>
      <c r="G5" s="113">
        <f>Assumptions!G24</f>
        <v>4.9282922999168692E-2</v>
      </c>
      <c r="H5" s="113">
        <f>Assumptions!H24</f>
        <v>4.9282922999168692E-2</v>
      </c>
      <c r="I5" s="113">
        <f>Assumptions!I24</f>
        <v>4.9282922999168692E-2</v>
      </c>
      <c r="J5" s="113">
        <f>Assumptions!J24</f>
        <v>4.9282922999168692E-2</v>
      </c>
      <c r="K5" s="113">
        <f>Assumptions!K24</f>
        <v>4.9282922999168692E-2</v>
      </c>
      <c r="L5" s="113">
        <f>Assumptions!L24</f>
        <v>4.9282922999168692E-2</v>
      </c>
      <c r="M5" s="113">
        <f>Assumptions!M24</f>
        <v>4.9282922999168692E-2</v>
      </c>
      <c r="N5" s="31"/>
      <c r="O5" s="31"/>
    </row>
    <row r="6" spans="1:16" s="2" customFormat="1">
      <c r="A6" s="11"/>
      <c r="B6" s="4" t="s">
        <v>26</v>
      </c>
      <c r="C6" s="32"/>
      <c r="D6" s="58"/>
      <c r="E6" s="62"/>
      <c r="F6" s="113">
        <f>Assumptions!F25</f>
        <v>4.6063183829558603E-2</v>
      </c>
      <c r="G6" s="113">
        <f>Assumptions!G25</f>
        <v>4.6063183829558603E-2</v>
      </c>
      <c r="H6" s="113">
        <f>Assumptions!H25</f>
        <v>4.6063183829558603E-2</v>
      </c>
      <c r="I6" s="113">
        <f>Assumptions!I25</f>
        <v>4.6063183829558603E-2</v>
      </c>
      <c r="J6" s="113">
        <f>Assumptions!J25</f>
        <v>4.6063183829558603E-2</v>
      </c>
      <c r="K6" s="113">
        <f>Assumptions!K25</f>
        <v>4.6063183829558603E-2</v>
      </c>
      <c r="L6" s="113">
        <f>Assumptions!L25</f>
        <v>4.6063183829558603E-2</v>
      </c>
      <c r="M6" s="113">
        <f>Assumptions!M25</f>
        <v>4.6063183829558603E-2</v>
      </c>
      <c r="N6" s="31"/>
      <c r="O6" s="31"/>
    </row>
    <row r="7" spans="1:16" s="2" customFormat="1">
      <c r="A7" s="11"/>
      <c r="B7" s="4"/>
      <c r="C7" s="32"/>
      <c r="D7" s="32"/>
      <c r="E7" s="32"/>
      <c r="F7" s="111"/>
      <c r="G7" s="111"/>
      <c r="H7" s="111"/>
      <c r="I7" s="112"/>
      <c r="J7" s="112"/>
      <c r="K7" s="112"/>
      <c r="L7" s="112"/>
      <c r="M7" s="112"/>
      <c r="N7" s="223"/>
      <c r="O7" s="223"/>
    </row>
    <row r="8" spans="1:16" s="2" customFormat="1">
      <c r="A8" s="11"/>
      <c r="B8" s="4" t="s">
        <v>27</v>
      </c>
      <c r="C8" s="32"/>
      <c r="D8" s="60"/>
      <c r="E8" s="64"/>
      <c r="F8" s="114">
        <f>Assumptions!F27</f>
        <v>0</v>
      </c>
      <c r="G8" s="114">
        <f>Assumptions!G27</f>
        <v>0</v>
      </c>
      <c r="H8" s="114">
        <f>Assumptions!H27</f>
        <v>0</v>
      </c>
      <c r="I8" s="114">
        <f>Assumptions!I27</f>
        <v>0</v>
      </c>
      <c r="J8" s="114">
        <f>Assumptions!J27</f>
        <v>0</v>
      </c>
      <c r="K8" s="114">
        <f>Assumptions!K27</f>
        <v>0</v>
      </c>
      <c r="L8" s="114">
        <f>Assumptions!L27</f>
        <v>0</v>
      </c>
      <c r="M8" s="114">
        <f>Assumptions!M27</f>
        <v>0</v>
      </c>
      <c r="N8" s="224"/>
      <c r="O8" s="224"/>
    </row>
    <row r="9" spans="1:16" s="2" customFormat="1">
      <c r="A9" s="11"/>
      <c r="B9" s="4" t="s">
        <v>28</v>
      </c>
      <c r="C9" s="32"/>
      <c r="D9" s="60"/>
      <c r="E9" s="64"/>
      <c r="F9" s="114">
        <f>Assumptions!F28</f>
        <v>0</v>
      </c>
      <c r="G9" s="114">
        <f>Assumptions!G28</f>
        <v>0</v>
      </c>
      <c r="H9" s="114">
        <f>Assumptions!H28</f>
        <v>0</v>
      </c>
      <c r="I9" s="114">
        <f>Assumptions!I28</f>
        <v>0</v>
      </c>
      <c r="J9" s="114">
        <f>Assumptions!J28</f>
        <v>0</v>
      </c>
      <c r="K9" s="114">
        <f>Assumptions!K28</f>
        <v>0</v>
      </c>
      <c r="L9" s="114">
        <f>Assumptions!L28</f>
        <v>0</v>
      </c>
      <c r="M9" s="226">
        <f>Assumptions!M28</f>
        <v>0</v>
      </c>
      <c r="N9" s="224"/>
      <c r="O9" s="224"/>
    </row>
    <row r="10" spans="1:16" s="2" customFormat="1" ht="18.75">
      <c r="A10" s="35"/>
      <c r="B10" s="3"/>
      <c r="C10" s="55"/>
      <c r="D10" s="55"/>
      <c r="E10" s="55"/>
      <c r="F10" s="110"/>
      <c r="G10" s="110"/>
      <c r="H10" s="110"/>
      <c r="I10" s="110"/>
      <c r="J10" s="110"/>
      <c r="K10" s="110"/>
      <c r="L10" s="110"/>
      <c r="M10" s="110"/>
      <c r="N10" s="55"/>
      <c r="O10" s="55"/>
    </row>
    <row r="11" spans="1:16">
      <c r="A11" s="22" t="s">
        <v>29</v>
      </c>
      <c r="B11" s="56"/>
      <c r="C11" s="157">
        <f>C2</f>
        <v>45291</v>
      </c>
      <c r="D11" s="157">
        <f t="shared" ref="D11:J11" si="1">D2</f>
        <v>45656</v>
      </c>
      <c r="E11" s="157">
        <f t="shared" si="1"/>
        <v>46021</v>
      </c>
      <c r="F11" s="157">
        <f t="shared" si="1"/>
        <v>46386</v>
      </c>
      <c r="G11" s="157">
        <f t="shared" si="1"/>
        <v>46751</v>
      </c>
      <c r="H11" s="157">
        <f t="shared" si="1"/>
        <v>47116</v>
      </c>
      <c r="I11" s="157">
        <f t="shared" si="1"/>
        <v>47481</v>
      </c>
      <c r="J11" s="157">
        <f t="shared" si="1"/>
        <v>47846</v>
      </c>
      <c r="K11" s="200">
        <f t="shared" ref="K11:M11" si="2">K2</f>
        <v>48211</v>
      </c>
      <c r="L11" s="200">
        <f t="shared" si="2"/>
        <v>48576</v>
      </c>
      <c r="M11" s="200">
        <f t="shared" si="2"/>
        <v>48941</v>
      </c>
      <c r="N11" s="225"/>
      <c r="O11" s="225"/>
      <c r="P11" s="49"/>
    </row>
    <row r="12" spans="1:16">
      <c r="B12" s="4" t="s">
        <v>30</v>
      </c>
      <c r="E12" s="29"/>
      <c r="I12" s="4"/>
      <c r="J12" s="4"/>
      <c r="P12" s="49"/>
    </row>
    <row r="13" spans="1:16">
      <c r="B13" s="4" t="s">
        <v>31</v>
      </c>
      <c r="E13" s="30"/>
      <c r="I13" s="4"/>
      <c r="J13" s="4"/>
      <c r="P13" s="49"/>
    </row>
    <row r="14" spans="1:16">
      <c r="B14" s="4" t="s">
        <v>32</v>
      </c>
      <c r="E14" s="29"/>
      <c r="I14" s="4"/>
      <c r="J14" s="4"/>
      <c r="P14" s="49"/>
    </row>
    <row r="15" spans="1:16">
      <c r="E15" s="29"/>
      <c r="I15" s="4"/>
      <c r="J15" s="4"/>
      <c r="P15" s="49"/>
    </row>
    <row r="16" spans="1:16">
      <c r="A16" s="300" t="s">
        <v>33</v>
      </c>
      <c r="B16" s="21"/>
      <c r="C16" s="57">
        <f t="shared" ref="C16:M16" si="3">C11</f>
        <v>45291</v>
      </c>
      <c r="D16" s="57">
        <f t="shared" si="3"/>
        <v>45656</v>
      </c>
      <c r="E16" s="57">
        <f t="shared" si="3"/>
        <v>46021</v>
      </c>
      <c r="F16" s="57">
        <f t="shared" si="3"/>
        <v>46386</v>
      </c>
      <c r="G16" s="57">
        <f t="shared" si="3"/>
        <v>46751</v>
      </c>
      <c r="H16" s="57">
        <f t="shared" si="3"/>
        <v>47116</v>
      </c>
      <c r="I16" s="57">
        <f t="shared" si="3"/>
        <v>47481</v>
      </c>
      <c r="J16" s="57">
        <f t="shared" si="3"/>
        <v>47846</v>
      </c>
      <c r="K16" s="199">
        <f t="shared" si="3"/>
        <v>48211</v>
      </c>
      <c r="L16" s="199">
        <f t="shared" si="3"/>
        <v>48576</v>
      </c>
      <c r="M16" s="199">
        <f t="shared" si="3"/>
        <v>48941</v>
      </c>
      <c r="N16" s="222"/>
      <c r="O16" s="222"/>
      <c r="P16" s="49"/>
    </row>
    <row r="17" spans="1:16">
      <c r="B17" s="4" t="s">
        <v>18</v>
      </c>
      <c r="E17" s="29"/>
      <c r="F17" s="4">
        <f>E20</f>
        <v>211328</v>
      </c>
      <c r="G17" s="4">
        <f t="shared" ref="G17:M17" si="4">F20</f>
        <v>211328</v>
      </c>
      <c r="H17" s="4">
        <f t="shared" si="4"/>
        <v>211328</v>
      </c>
      <c r="I17" s="4">
        <f t="shared" si="4"/>
        <v>211328</v>
      </c>
      <c r="J17" s="4">
        <f t="shared" si="4"/>
        <v>211328</v>
      </c>
      <c r="K17" s="4">
        <f t="shared" si="4"/>
        <v>211328</v>
      </c>
      <c r="L17" s="4">
        <f t="shared" si="4"/>
        <v>211328</v>
      </c>
      <c r="M17" s="4">
        <f t="shared" si="4"/>
        <v>211328</v>
      </c>
      <c r="P17" s="49"/>
    </row>
    <row r="18" spans="1:16">
      <c r="B18" s="4" t="s">
        <v>34</v>
      </c>
      <c r="E18" s="29"/>
      <c r="F18" s="4">
        <f>F8</f>
        <v>0</v>
      </c>
      <c r="G18" s="4">
        <f t="shared" ref="G18:M18" si="5">G8</f>
        <v>0</v>
      </c>
      <c r="H18" s="4">
        <f t="shared" si="5"/>
        <v>0</v>
      </c>
      <c r="I18" s="4">
        <f t="shared" si="5"/>
        <v>0</v>
      </c>
      <c r="J18" s="4">
        <f t="shared" si="5"/>
        <v>0</v>
      </c>
      <c r="K18" s="4">
        <f t="shared" si="5"/>
        <v>0</v>
      </c>
      <c r="L18" s="4">
        <f t="shared" si="5"/>
        <v>0</v>
      </c>
      <c r="M18" s="4">
        <f t="shared" si="5"/>
        <v>0</v>
      </c>
      <c r="P18" s="49"/>
    </row>
    <row r="19" spans="1:16">
      <c r="B19" s="4" t="s">
        <v>35</v>
      </c>
      <c r="E19" s="29"/>
      <c r="F19" s="4">
        <f>F9</f>
        <v>0</v>
      </c>
      <c r="G19" s="4">
        <f t="shared" ref="G19:M19" si="6">G9</f>
        <v>0</v>
      </c>
      <c r="H19" s="4">
        <f t="shared" si="6"/>
        <v>0</v>
      </c>
      <c r="I19" s="4">
        <f t="shared" si="6"/>
        <v>0</v>
      </c>
      <c r="J19" s="4">
        <f t="shared" si="6"/>
        <v>0</v>
      </c>
      <c r="K19" s="4">
        <f t="shared" si="6"/>
        <v>0</v>
      </c>
      <c r="L19" s="4">
        <f t="shared" si="6"/>
        <v>0</v>
      </c>
      <c r="M19" s="4">
        <f t="shared" si="6"/>
        <v>0</v>
      </c>
    </row>
    <row r="20" spans="1:16">
      <c r="B20" s="4" t="s">
        <v>22</v>
      </c>
      <c r="C20" s="10"/>
      <c r="E20" s="29">
        <f>BalSheet!E37</f>
        <v>211328</v>
      </c>
      <c r="F20" s="4">
        <f>F17+F18-F19</f>
        <v>211328</v>
      </c>
      <c r="G20" s="4">
        <f t="shared" ref="G20:M20" si="7">G17+G18-G19</f>
        <v>211328</v>
      </c>
      <c r="H20" s="4">
        <f t="shared" si="7"/>
        <v>211328</v>
      </c>
      <c r="I20" s="4">
        <f t="shared" si="7"/>
        <v>211328</v>
      </c>
      <c r="J20" s="4">
        <f t="shared" si="7"/>
        <v>211328</v>
      </c>
      <c r="K20" s="4">
        <f t="shared" si="7"/>
        <v>211328</v>
      </c>
      <c r="L20" s="4">
        <f t="shared" si="7"/>
        <v>211328</v>
      </c>
      <c r="M20" s="4">
        <f t="shared" si="7"/>
        <v>211328</v>
      </c>
    </row>
    <row r="21" spans="1:16">
      <c r="B21" s="4" t="s">
        <v>31</v>
      </c>
      <c r="D21" s="50"/>
      <c r="E21" s="29"/>
      <c r="F21" s="8">
        <f>F5</f>
        <v>4.9282922999168692E-2</v>
      </c>
      <c r="G21" s="8">
        <f t="shared" ref="G21:M21" si="8">G5</f>
        <v>4.9282922999168692E-2</v>
      </c>
      <c r="H21" s="8">
        <f t="shared" si="8"/>
        <v>4.9282922999168692E-2</v>
      </c>
      <c r="I21" s="8">
        <f t="shared" si="8"/>
        <v>4.9282922999168692E-2</v>
      </c>
      <c r="J21" s="8">
        <f t="shared" si="8"/>
        <v>4.9282922999168692E-2</v>
      </c>
      <c r="K21" s="8">
        <f t="shared" si="8"/>
        <v>4.9282922999168692E-2</v>
      </c>
      <c r="L21" s="8">
        <f t="shared" si="8"/>
        <v>4.9282922999168692E-2</v>
      </c>
      <c r="M21" s="8">
        <f t="shared" si="8"/>
        <v>4.9282922999168692E-2</v>
      </c>
    </row>
    <row r="22" spans="1:16">
      <c r="B22" s="4" t="s">
        <v>32</v>
      </c>
      <c r="E22" s="29"/>
      <c r="F22" s="4">
        <f>F20*F21</f>
        <v>10414.861551568321</v>
      </c>
      <c r="G22" s="4">
        <f t="shared" ref="G22:M22" si="9">G20*G21</f>
        <v>10414.861551568321</v>
      </c>
      <c r="H22" s="4">
        <f t="shared" si="9"/>
        <v>10414.861551568321</v>
      </c>
      <c r="I22" s="4">
        <f t="shared" si="9"/>
        <v>10414.861551568321</v>
      </c>
      <c r="J22" s="4">
        <f t="shared" si="9"/>
        <v>10414.861551568321</v>
      </c>
      <c r="K22" s="4">
        <f t="shared" si="9"/>
        <v>10414.861551568321</v>
      </c>
      <c r="L22" s="4">
        <f t="shared" si="9"/>
        <v>10414.861551568321</v>
      </c>
      <c r="M22" s="4">
        <f t="shared" si="9"/>
        <v>10414.861551568321</v>
      </c>
    </row>
    <row r="23" spans="1:16">
      <c r="E23" s="29"/>
      <c r="I23" s="4"/>
      <c r="J23" s="4"/>
    </row>
    <row r="24" spans="1:16">
      <c r="A24" s="22" t="s">
        <v>36</v>
      </c>
      <c r="B24" s="44"/>
      <c r="C24" s="57">
        <f>C16</f>
        <v>45291</v>
      </c>
      <c r="D24" s="57">
        <f t="shared" ref="D24:J24" si="10">D16</f>
        <v>45656</v>
      </c>
      <c r="E24" s="57">
        <f t="shared" si="10"/>
        <v>46021</v>
      </c>
      <c r="F24" s="57">
        <f t="shared" si="10"/>
        <v>46386</v>
      </c>
      <c r="G24" s="57">
        <f t="shared" si="10"/>
        <v>46751</v>
      </c>
      <c r="H24" s="57">
        <f t="shared" si="10"/>
        <v>47116</v>
      </c>
      <c r="I24" s="57">
        <f t="shared" si="10"/>
        <v>47481</v>
      </c>
      <c r="J24" s="57">
        <f t="shared" si="10"/>
        <v>47846</v>
      </c>
      <c r="K24" s="199">
        <f t="shared" ref="K24:M24" si="11">K16</f>
        <v>48211</v>
      </c>
      <c r="L24" s="199">
        <f t="shared" si="11"/>
        <v>48576</v>
      </c>
      <c r="M24" s="199">
        <f t="shared" si="11"/>
        <v>48941</v>
      </c>
      <c r="N24" s="222"/>
      <c r="O24" s="222"/>
    </row>
    <row r="25" spans="1:16">
      <c r="A25" s="7"/>
      <c r="B25" s="4" t="s">
        <v>29</v>
      </c>
      <c r="E25" s="29"/>
      <c r="F25" s="4" t="s">
        <v>207</v>
      </c>
      <c r="G25" s="4" t="s">
        <v>207</v>
      </c>
      <c r="H25" s="4" t="s">
        <v>207</v>
      </c>
      <c r="I25" s="4" t="s">
        <v>207</v>
      </c>
      <c r="J25" s="4" t="s">
        <v>207</v>
      </c>
      <c r="K25" s="4" t="s">
        <v>207</v>
      </c>
      <c r="L25" s="4" t="s">
        <v>207</v>
      </c>
      <c r="M25" s="4" t="s">
        <v>207</v>
      </c>
    </row>
    <row r="26" spans="1:16">
      <c r="A26" s="7"/>
      <c r="B26" s="4" t="s">
        <v>37</v>
      </c>
      <c r="E26" s="29"/>
      <c r="F26" s="4">
        <f>F20</f>
        <v>211328</v>
      </c>
      <c r="G26" s="4">
        <f t="shared" ref="G26:M26" si="12">G20</f>
        <v>211328</v>
      </c>
      <c r="H26" s="4">
        <f t="shared" si="12"/>
        <v>211328</v>
      </c>
      <c r="I26" s="4">
        <f t="shared" si="12"/>
        <v>211328</v>
      </c>
      <c r="J26" s="4">
        <f t="shared" si="12"/>
        <v>211328</v>
      </c>
      <c r="K26" s="4">
        <f t="shared" si="12"/>
        <v>211328</v>
      </c>
      <c r="L26" s="4">
        <f t="shared" si="12"/>
        <v>211328</v>
      </c>
      <c r="M26" s="4">
        <f t="shared" si="12"/>
        <v>211328</v>
      </c>
    </row>
    <row r="27" spans="1:16">
      <c r="A27" s="7"/>
      <c r="B27" s="11" t="s">
        <v>38</v>
      </c>
      <c r="D27" s="11"/>
      <c r="E27" s="26"/>
      <c r="F27" s="11">
        <f>F26</f>
        <v>211328</v>
      </c>
      <c r="G27" s="11">
        <f t="shared" ref="G27:M27" si="13">G26</f>
        <v>211328</v>
      </c>
      <c r="H27" s="11">
        <f t="shared" si="13"/>
        <v>211328</v>
      </c>
      <c r="I27" s="11">
        <f t="shared" si="13"/>
        <v>211328</v>
      </c>
      <c r="J27" s="11">
        <f t="shared" si="13"/>
        <v>211328</v>
      </c>
      <c r="K27" s="11">
        <f t="shared" si="13"/>
        <v>211328</v>
      </c>
      <c r="L27" s="11">
        <f t="shared" si="13"/>
        <v>211328</v>
      </c>
      <c r="M27" s="11">
        <f t="shared" si="13"/>
        <v>211328</v>
      </c>
      <c r="N27" s="11"/>
      <c r="O27" s="11"/>
    </row>
    <row r="28" spans="1:16">
      <c r="A28" s="7"/>
      <c r="B28" s="4" t="s">
        <v>39</v>
      </c>
      <c r="E28" s="29"/>
      <c r="F28" s="4">
        <f>F22</f>
        <v>10414.861551568321</v>
      </c>
      <c r="G28" s="4">
        <f t="shared" ref="G28:M28" si="14">G22</f>
        <v>10414.861551568321</v>
      </c>
      <c r="H28" s="4">
        <f t="shared" si="14"/>
        <v>10414.861551568321</v>
      </c>
      <c r="I28" s="4">
        <f t="shared" si="14"/>
        <v>10414.861551568321</v>
      </c>
      <c r="J28" s="4">
        <f t="shared" si="14"/>
        <v>10414.861551568321</v>
      </c>
      <c r="K28" s="4">
        <f t="shared" si="14"/>
        <v>10414.861551568321</v>
      </c>
      <c r="L28" s="4">
        <f t="shared" si="14"/>
        <v>10414.861551568321</v>
      </c>
      <c r="M28" s="4">
        <f t="shared" si="14"/>
        <v>10414.861551568321</v>
      </c>
    </row>
    <row r="29" spans="1:16">
      <c r="A29" s="7"/>
      <c r="E29" s="29"/>
      <c r="I29" s="4"/>
      <c r="J29" s="4"/>
    </row>
    <row r="30" spans="1:16">
      <c r="A30" s="22" t="s">
        <v>40</v>
      </c>
      <c r="B30" s="44"/>
      <c r="C30" s="57">
        <f>C11</f>
        <v>45291</v>
      </c>
      <c r="D30" s="57">
        <f t="shared" ref="D30:J30" si="15">D11</f>
        <v>45656</v>
      </c>
      <c r="E30" s="57">
        <f t="shared" si="15"/>
        <v>46021</v>
      </c>
      <c r="F30" s="57">
        <f t="shared" si="15"/>
        <v>46386</v>
      </c>
      <c r="G30" s="57">
        <f t="shared" si="15"/>
        <v>46751</v>
      </c>
      <c r="H30" s="57">
        <f t="shared" si="15"/>
        <v>47116</v>
      </c>
      <c r="I30" s="57">
        <f t="shared" si="15"/>
        <v>47481</v>
      </c>
      <c r="J30" s="57">
        <f t="shared" si="15"/>
        <v>47846</v>
      </c>
      <c r="K30" s="199">
        <f t="shared" ref="K30:M30" si="16">K11</f>
        <v>48211</v>
      </c>
      <c r="L30" s="199">
        <f t="shared" si="16"/>
        <v>48576</v>
      </c>
      <c r="M30" s="199">
        <f t="shared" si="16"/>
        <v>48941</v>
      </c>
      <c r="N30" s="222"/>
      <c r="O30" s="222"/>
    </row>
    <row r="31" spans="1:16">
      <c r="A31" s="7"/>
      <c r="B31" s="4" t="s">
        <v>172</v>
      </c>
      <c r="E31" s="29">
        <f>BalSheet!E18</f>
        <v>1800229.2328767122</v>
      </c>
      <c r="F31" s="316">
        <f>BalSheet!F18</f>
        <v>2240720.2763436344</v>
      </c>
      <c r="G31" s="316">
        <f>BalSheet!G18</f>
        <v>2638954.8637805991</v>
      </c>
      <c r="H31" s="316">
        <f>BalSheet!H18</f>
        <v>3045162.2998623024</v>
      </c>
      <c r="I31" s="316">
        <f>BalSheet!I18</f>
        <v>3475294.9950280786</v>
      </c>
      <c r="J31" s="316">
        <f>BalSheet!J18</f>
        <v>3943308.904103003</v>
      </c>
      <c r="K31" s="316">
        <f>BalSheet!K18</f>
        <v>4462247.5045087319</v>
      </c>
      <c r="L31" s="316">
        <f>BalSheet!L18</f>
        <v>5045054.3588011581</v>
      </c>
      <c r="M31" s="316">
        <f>BalSheet!M18</f>
        <v>5705212.9723744821</v>
      </c>
    </row>
    <row r="32" spans="1:16">
      <c r="B32" s="4" t="s">
        <v>31</v>
      </c>
      <c r="D32" s="50"/>
      <c r="E32" s="25">
        <v>4.5999999999999999E-2</v>
      </c>
      <c r="F32" s="5">
        <f>F6</f>
        <v>4.6063183829558603E-2</v>
      </c>
      <c r="G32" s="5">
        <f t="shared" ref="G32:M32" si="17">G6</f>
        <v>4.6063183829558603E-2</v>
      </c>
      <c r="H32" s="5">
        <f t="shared" si="17"/>
        <v>4.6063183829558603E-2</v>
      </c>
      <c r="I32" s="5">
        <f t="shared" si="17"/>
        <v>4.6063183829558603E-2</v>
      </c>
      <c r="J32" s="5">
        <f t="shared" si="17"/>
        <v>4.6063183829558603E-2</v>
      </c>
      <c r="K32" s="5">
        <f t="shared" si="17"/>
        <v>4.6063183829558603E-2</v>
      </c>
      <c r="L32" s="5">
        <f t="shared" si="17"/>
        <v>4.6063183829558603E-2</v>
      </c>
      <c r="M32" s="5">
        <f t="shared" si="17"/>
        <v>4.6063183829558603E-2</v>
      </c>
      <c r="N32" s="188"/>
      <c r="O32" s="188"/>
    </row>
    <row r="33" spans="2:13">
      <c r="B33" s="4" t="s">
        <v>40</v>
      </c>
      <c r="E33" s="29">
        <f>E31*E32</f>
        <v>82810.544712328759</v>
      </c>
      <c r="F33" s="316">
        <f>F31*F32</f>
        <v>103214.70999983618</v>
      </c>
      <c r="G33" s="316">
        <f t="shared" ref="G33:M33" si="18">G31*G32</f>
        <v>121558.66300823352</v>
      </c>
      <c r="H33" s="316">
        <f t="shared" si="18"/>
        <v>140269.87080939868</v>
      </c>
      <c r="I33" s="316">
        <f t="shared" si="18"/>
        <v>160083.15221792334</v>
      </c>
      <c r="J33" s="316">
        <f t="shared" si="18"/>
        <v>181641.36294643191</v>
      </c>
      <c r="K33" s="316">
        <f t="shared" si="18"/>
        <v>205545.32709317486</v>
      </c>
      <c r="L33" s="316">
        <f t="shared" si="18"/>
        <v>232391.26635957367</v>
      </c>
      <c r="M33" s="316">
        <f t="shared" si="18"/>
        <v>262800.27393326821</v>
      </c>
    </row>
    <row r="34" spans="2:13">
      <c r="E34" s="29"/>
    </row>
  </sheetData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&amp;L&amp;8&amp;F &amp;A</oddHeader>
    <oddFooter>&amp;R&amp;8&amp;P of &amp;N&amp;L&amp;8© AMT Training 2008 - 2017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>
    <pageSetUpPr autoPageBreaks="0" fitToPage="1"/>
  </sheetPr>
  <dimension ref="A1:O43"/>
  <sheetViews>
    <sheetView showGridLines="0" topLeftCell="B1" zoomScaleNormal="100" workbookViewId="0">
      <selection activeCell="M41" sqref="M41"/>
    </sheetView>
  </sheetViews>
  <sheetFormatPr defaultColWidth="8.85546875" defaultRowHeight="15"/>
  <cols>
    <col min="1" max="1" width="1.7109375" style="11" customWidth="1"/>
    <col min="2" max="2" width="40.7109375" style="4" customWidth="1"/>
    <col min="3" max="7" width="12.28515625" style="4" customWidth="1"/>
    <col min="8" max="8" width="12.28515625" style="6" customWidth="1"/>
    <col min="9" max="13" width="12.28515625" style="4" customWidth="1"/>
    <col min="14" max="15" width="12" style="4" customWidth="1"/>
    <col min="16" max="256" width="8.85546875" style="4"/>
    <col min="257" max="257" width="1.7109375" style="4" customWidth="1"/>
    <col min="258" max="258" width="40.7109375" style="4" customWidth="1"/>
    <col min="259" max="263" width="10.7109375" style="4" customWidth="1"/>
    <col min="264" max="264" width="11.42578125" style="4" customWidth="1"/>
    <col min="265" max="266" width="12" style="4" customWidth="1"/>
    <col min="267" max="268" width="8.85546875" style="4"/>
    <col min="269" max="269" width="10.7109375" style="4" bestFit="1" customWidth="1"/>
    <col min="270" max="512" width="8.85546875" style="4"/>
    <col min="513" max="513" width="1.7109375" style="4" customWidth="1"/>
    <col min="514" max="514" width="40.7109375" style="4" customWidth="1"/>
    <col min="515" max="519" width="10.7109375" style="4" customWidth="1"/>
    <col min="520" max="520" width="11.42578125" style="4" customWidth="1"/>
    <col min="521" max="522" width="12" style="4" customWidth="1"/>
    <col min="523" max="524" width="8.85546875" style="4"/>
    <col min="525" max="525" width="10.7109375" style="4" bestFit="1" customWidth="1"/>
    <col min="526" max="768" width="8.85546875" style="4"/>
    <col min="769" max="769" width="1.7109375" style="4" customWidth="1"/>
    <col min="770" max="770" width="40.7109375" style="4" customWidth="1"/>
    <col min="771" max="775" width="10.7109375" style="4" customWidth="1"/>
    <col min="776" max="776" width="11.42578125" style="4" customWidth="1"/>
    <col min="777" max="778" width="12" style="4" customWidth="1"/>
    <col min="779" max="780" width="8.85546875" style="4"/>
    <col min="781" max="781" width="10.7109375" style="4" bestFit="1" customWidth="1"/>
    <col min="782" max="1024" width="8.85546875" style="4"/>
    <col min="1025" max="1025" width="1.7109375" style="4" customWidth="1"/>
    <col min="1026" max="1026" width="40.7109375" style="4" customWidth="1"/>
    <col min="1027" max="1031" width="10.7109375" style="4" customWidth="1"/>
    <col min="1032" max="1032" width="11.42578125" style="4" customWidth="1"/>
    <col min="1033" max="1034" width="12" style="4" customWidth="1"/>
    <col min="1035" max="1036" width="8.85546875" style="4"/>
    <col min="1037" max="1037" width="10.7109375" style="4" bestFit="1" customWidth="1"/>
    <col min="1038" max="1280" width="8.85546875" style="4"/>
    <col min="1281" max="1281" width="1.7109375" style="4" customWidth="1"/>
    <col min="1282" max="1282" width="40.7109375" style="4" customWidth="1"/>
    <col min="1283" max="1287" width="10.7109375" style="4" customWidth="1"/>
    <col min="1288" max="1288" width="11.42578125" style="4" customWidth="1"/>
    <col min="1289" max="1290" width="12" style="4" customWidth="1"/>
    <col min="1291" max="1292" width="8.85546875" style="4"/>
    <col min="1293" max="1293" width="10.7109375" style="4" bestFit="1" customWidth="1"/>
    <col min="1294" max="1536" width="8.85546875" style="4"/>
    <col min="1537" max="1537" width="1.7109375" style="4" customWidth="1"/>
    <col min="1538" max="1538" width="40.7109375" style="4" customWidth="1"/>
    <col min="1539" max="1543" width="10.7109375" style="4" customWidth="1"/>
    <col min="1544" max="1544" width="11.42578125" style="4" customWidth="1"/>
    <col min="1545" max="1546" width="12" style="4" customWidth="1"/>
    <col min="1547" max="1548" width="8.85546875" style="4"/>
    <col min="1549" max="1549" width="10.7109375" style="4" bestFit="1" customWidth="1"/>
    <col min="1550" max="1792" width="8.85546875" style="4"/>
    <col min="1793" max="1793" width="1.7109375" style="4" customWidth="1"/>
    <col min="1794" max="1794" width="40.7109375" style="4" customWidth="1"/>
    <col min="1795" max="1799" width="10.7109375" style="4" customWidth="1"/>
    <col min="1800" max="1800" width="11.42578125" style="4" customWidth="1"/>
    <col min="1801" max="1802" width="12" style="4" customWidth="1"/>
    <col min="1803" max="1804" width="8.85546875" style="4"/>
    <col min="1805" max="1805" width="10.7109375" style="4" bestFit="1" customWidth="1"/>
    <col min="1806" max="2048" width="8.85546875" style="4"/>
    <col min="2049" max="2049" width="1.7109375" style="4" customWidth="1"/>
    <col min="2050" max="2050" width="40.7109375" style="4" customWidth="1"/>
    <col min="2051" max="2055" width="10.7109375" style="4" customWidth="1"/>
    <col min="2056" max="2056" width="11.42578125" style="4" customWidth="1"/>
    <col min="2057" max="2058" width="12" style="4" customWidth="1"/>
    <col min="2059" max="2060" width="8.85546875" style="4"/>
    <col min="2061" max="2061" width="10.7109375" style="4" bestFit="1" customWidth="1"/>
    <col min="2062" max="2304" width="8.85546875" style="4"/>
    <col min="2305" max="2305" width="1.7109375" style="4" customWidth="1"/>
    <col min="2306" max="2306" width="40.7109375" style="4" customWidth="1"/>
    <col min="2307" max="2311" width="10.7109375" style="4" customWidth="1"/>
    <col min="2312" max="2312" width="11.42578125" style="4" customWidth="1"/>
    <col min="2313" max="2314" width="12" style="4" customWidth="1"/>
    <col min="2315" max="2316" width="8.85546875" style="4"/>
    <col min="2317" max="2317" width="10.7109375" style="4" bestFit="1" customWidth="1"/>
    <col min="2318" max="2560" width="8.85546875" style="4"/>
    <col min="2561" max="2561" width="1.7109375" style="4" customWidth="1"/>
    <col min="2562" max="2562" width="40.7109375" style="4" customWidth="1"/>
    <col min="2563" max="2567" width="10.7109375" style="4" customWidth="1"/>
    <col min="2568" max="2568" width="11.42578125" style="4" customWidth="1"/>
    <col min="2569" max="2570" width="12" style="4" customWidth="1"/>
    <col min="2571" max="2572" width="8.85546875" style="4"/>
    <col min="2573" max="2573" width="10.7109375" style="4" bestFit="1" customWidth="1"/>
    <col min="2574" max="2816" width="8.85546875" style="4"/>
    <col min="2817" max="2817" width="1.7109375" style="4" customWidth="1"/>
    <col min="2818" max="2818" width="40.7109375" style="4" customWidth="1"/>
    <col min="2819" max="2823" width="10.7109375" style="4" customWidth="1"/>
    <col min="2824" max="2824" width="11.42578125" style="4" customWidth="1"/>
    <col min="2825" max="2826" width="12" style="4" customWidth="1"/>
    <col min="2827" max="2828" width="8.85546875" style="4"/>
    <col min="2829" max="2829" width="10.7109375" style="4" bestFit="1" customWidth="1"/>
    <col min="2830" max="3072" width="8.85546875" style="4"/>
    <col min="3073" max="3073" width="1.7109375" style="4" customWidth="1"/>
    <col min="3074" max="3074" width="40.7109375" style="4" customWidth="1"/>
    <col min="3075" max="3079" width="10.7109375" style="4" customWidth="1"/>
    <col min="3080" max="3080" width="11.42578125" style="4" customWidth="1"/>
    <col min="3081" max="3082" width="12" style="4" customWidth="1"/>
    <col min="3083" max="3084" width="8.85546875" style="4"/>
    <col min="3085" max="3085" width="10.7109375" style="4" bestFit="1" customWidth="1"/>
    <col min="3086" max="3328" width="8.85546875" style="4"/>
    <col min="3329" max="3329" width="1.7109375" style="4" customWidth="1"/>
    <col min="3330" max="3330" width="40.7109375" style="4" customWidth="1"/>
    <col min="3331" max="3335" width="10.7109375" style="4" customWidth="1"/>
    <col min="3336" max="3336" width="11.42578125" style="4" customWidth="1"/>
    <col min="3337" max="3338" width="12" style="4" customWidth="1"/>
    <col min="3339" max="3340" width="8.85546875" style="4"/>
    <col min="3341" max="3341" width="10.7109375" style="4" bestFit="1" customWidth="1"/>
    <col min="3342" max="3584" width="8.85546875" style="4"/>
    <col min="3585" max="3585" width="1.7109375" style="4" customWidth="1"/>
    <col min="3586" max="3586" width="40.7109375" style="4" customWidth="1"/>
    <col min="3587" max="3591" width="10.7109375" style="4" customWidth="1"/>
    <col min="3592" max="3592" width="11.42578125" style="4" customWidth="1"/>
    <col min="3593" max="3594" width="12" style="4" customWidth="1"/>
    <col min="3595" max="3596" width="8.85546875" style="4"/>
    <col min="3597" max="3597" width="10.7109375" style="4" bestFit="1" customWidth="1"/>
    <col min="3598" max="3840" width="8.85546875" style="4"/>
    <col min="3841" max="3841" width="1.7109375" style="4" customWidth="1"/>
    <col min="3842" max="3842" width="40.7109375" style="4" customWidth="1"/>
    <col min="3843" max="3847" width="10.7109375" style="4" customWidth="1"/>
    <col min="3848" max="3848" width="11.42578125" style="4" customWidth="1"/>
    <col min="3849" max="3850" width="12" style="4" customWidth="1"/>
    <col min="3851" max="3852" width="8.85546875" style="4"/>
    <col min="3853" max="3853" width="10.7109375" style="4" bestFit="1" customWidth="1"/>
    <col min="3854" max="4096" width="8.85546875" style="4"/>
    <col min="4097" max="4097" width="1.7109375" style="4" customWidth="1"/>
    <col min="4098" max="4098" width="40.7109375" style="4" customWidth="1"/>
    <col min="4099" max="4103" width="10.7109375" style="4" customWidth="1"/>
    <col min="4104" max="4104" width="11.42578125" style="4" customWidth="1"/>
    <col min="4105" max="4106" width="12" style="4" customWidth="1"/>
    <col min="4107" max="4108" width="8.85546875" style="4"/>
    <col min="4109" max="4109" width="10.7109375" style="4" bestFit="1" customWidth="1"/>
    <col min="4110" max="4352" width="8.85546875" style="4"/>
    <col min="4353" max="4353" width="1.7109375" style="4" customWidth="1"/>
    <col min="4354" max="4354" width="40.7109375" style="4" customWidth="1"/>
    <col min="4355" max="4359" width="10.7109375" style="4" customWidth="1"/>
    <col min="4360" max="4360" width="11.42578125" style="4" customWidth="1"/>
    <col min="4361" max="4362" width="12" style="4" customWidth="1"/>
    <col min="4363" max="4364" width="8.85546875" style="4"/>
    <col min="4365" max="4365" width="10.7109375" style="4" bestFit="1" customWidth="1"/>
    <col min="4366" max="4608" width="8.85546875" style="4"/>
    <col min="4609" max="4609" width="1.7109375" style="4" customWidth="1"/>
    <col min="4610" max="4610" width="40.7109375" style="4" customWidth="1"/>
    <col min="4611" max="4615" width="10.7109375" style="4" customWidth="1"/>
    <col min="4616" max="4616" width="11.42578125" style="4" customWidth="1"/>
    <col min="4617" max="4618" width="12" style="4" customWidth="1"/>
    <col min="4619" max="4620" width="8.85546875" style="4"/>
    <col min="4621" max="4621" width="10.7109375" style="4" bestFit="1" customWidth="1"/>
    <col min="4622" max="4864" width="8.85546875" style="4"/>
    <col min="4865" max="4865" width="1.7109375" style="4" customWidth="1"/>
    <col min="4866" max="4866" width="40.7109375" style="4" customWidth="1"/>
    <col min="4867" max="4871" width="10.7109375" style="4" customWidth="1"/>
    <col min="4872" max="4872" width="11.42578125" style="4" customWidth="1"/>
    <col min="4873" max="4874" width="12" style="4" customWidth="1"/>
    <col min="4875" max="4876" width="8.85546875" style="4"/>
    <col min="4877" max="4877" width="10.7109375" style="4" bestFit="1" customWidth="1"/>
    <col min="4878" max="5120" width="8.85546875" style="4"/>
    <col min="5121" max="5121" width="1.7109375" style="4" customWidth="1"/>
    <col min="5122" max="5122" width="40.7109375" style="4" customWidth="1"/>
    <col min="5123" max="5127" width="10.7109375" style="4" customWidth="1"/>
    <col min="5128" max="5128" width="11.42578125" style="4" customWidth="1"/>
    <col min="5129" max="5130" width="12" style="4" customWidth="1"/>
    <col min="5131" max="5132" width="8.85546875" style="4"/>
    <col min="5133" max="5133" width="10.7109375" style="4" bestFit="1" customWidth="1"/>
    <col min="5134" max="5376" width="8.85546875" style="4"/>
    <col min="5377" max="5377" width="1.7109375" style="4" customWidth="1"/>
    <col min="5378" max="5378" width="40.7109375" style="4" customWidth="1"/>
    <col min="5379" max="5383" width="10.7109375" style="4" customWidth="1"/>
    <col min="5384" max="5384" width="11.42578125" style="4" customWidth="1"/>
    <col min="5385" max="5386" width="12" style="4" customWidth="1"/>
    <col min="5387" max="5388" width="8.85546875" style="4"/>
    <col min="5389" max="5389" width="10.7109375" style="4" bestFit="1" customWidth="1"/>
    <col min="5390" max="5632" width="8.85546875" style="4"/>
    <col min="5633" max="5633" width="1.7109375" style="4" customWidth="1"/>
    <col min="5634" max="5634" width="40.7109375" style="4" customWidth="1"/>
    <col min="5635" max="5639" width="10.7109375" style="4" customWidth="1"/>
    <col min="5640" max="5640" width="11.42578125" style="4" customWidth="1"/>
    <col min="5641" max="5642" width="12" style="4" customWidth="1"/>
    <col min="5643" max="5644" width="8.85546875" style="4"/>
    <col min="5645" max="5645" width="10.7109375" style="4" bestFit="1" customWidth="1"/>
    <col min="5646" max="5888" width="8.85546875" style="4"/>
    <col min="5889" max="5889" width="1.7109375" style="4" customWidth="1"/>
    <col min="5890" max="5890" width="40.7109375" style="4" customWidth="1"/>
    <col min="5891" max="5895" width="10.7109375" style="4" customWidth="1"/>
    <col min="5896" max="5896" width="11.42578125" style="4" customWidth="1"/>
    <col min="5897" max="5898" width="12" style="4" customWidth="1"/>
    <col min="5899" max="5900" width="8.85546875" style="4"/>
    <col min="5901" max="5901" width="10.7109375" style="4" bestFit="1" customWidth="1"/>
    <col min="5902" max="6144" width="8.85546875" style="4"/>
    <col min="6145" max="6145" width="1.7109375" style="4" customWidth="1"/>
    <col min="6146" max="6146" width="40.7109375" style="4" customWidth="1"/>
    <col min="6147" max="6151" width="10.7109375" style="4" customWidth="1"/>
    <col min="6152" max="6152" width="11.42578125" style="4" customWidth="1"/>
    <col min="6153" max="6154" width="12" style="4" customWidth="1"/>
    <col min="6155" max="6156" width="8.85546875" style="4"/>
    <col min="6157" max="6157" width="10.7109375" style="4" bestFit="1" customWidth="1"/>
    <col min="6158" max="6400" width="8.85546875" style="4"/>
    <col min="6401" max="6401" width="1.7109375" style="4" customWidth="1"/>
    <col min="6402" max="6402" width="40.7109375" style="4" customWidth="1"/>
    <col min="6403" max="6407" width="10.7109375" style="4" customWidth="1"/>
    <col min="6408" max="6408" width="11.42578125" style="4" customWidth="1"/>
    <col min="6409" max="6410" width="12" style="4" customWidth="1"/>
    <col min="6411" max="6412" width="8.85546875" style="4"/>
    <col min="6413" max="6413" width="10.7109375" style="4" bestFit="1" customWidth="1"/>
    <col min="6414" max="6656" width="8.85546875" style="4"/>
    <col min="6657" max="6657" width="1.7109375" style="4" customWidth="1"/>
    <col min="6658" max="6658" width="40.7109375" style="4" customWidth="1"/>
    <col min="6659" max="6663" width="10.7109375" style="4" customWidth="1"/>
    <col min="6664" max="6664" width="11.42578125" style="4" customWidth="1"/>
    <col min="6665" max="6666" width="12" style="4" customWidth="1"/>
    <col min="6667" max="6668" width="8.85546875" style="4"/>
    <col min="6669" max="6669" width="10.7109375" style="4" bestFit="1" customWidth="1"/>
    <col min="6670" max="6912" width="8.85546875" style="4"/>
    <col min="6913" max="6913" width="1.7109375" style="4" customWidth="1"/>
    <col min="6914" max="6914" width="40.7109375" style="4" customWidth="1"/>
    <col min="6915" max="6919" width="10.7109375" style="4" customWidth="1"/>
    <col min="6920" max="6920" width="11.42578125" style="4" customWidth="1"/>
    <col min="6921" max="6922" width="12" style="4" customWidth="1"/>
    <col min="6923" max="6924" width="8.85546875" style="4"/>
    <col min="6925" max="6925" width="10.7109375" style="4" bestFit="1" customWidth="1"/>
    <col min="6926" max="7168" width="8.85546875" style="4"/>
    <col min="7169" max="7169" width="1.7109375" style="4" customWidth="1"/>
    <col min="7170" max="7170" width="40.7109375" style="4" customWidth="1"/>
    <col min="7171" max="7175" width="10.7109375" style="4" customWidth="1"/>
    <col min="7176" max="7176" width="11.42578125" style="4" customWidth="1"/>
    <col min="7177" max="7178" width="12" style="4" customWidth="1"/>
    <col min="7179" max="7180" width="8.85546875" style="4"/>
    <col min="7181" max="7181" width="10.7109375" style="4" bestFit="1" customWidth="1"/>
    <col min="7182" max="7424" width="8.85546875" style="4"/>
    <col min="7425" max="7425" width="1.7109375" style="4" customWidth="1"/>
    <col min="7426" max="7426" width="40.7109375" style="4" customWidth="1"/>
    <col min="7427" max="7431" width="10.7109375" style="4" customWidth="1"/>
    <col min="7432" max="7432" width="11.42578125" style="4" customWidth="1"/>
    <col min="7433" max="7434" width="12" style="4" customWidth="1"/>
    <col min="7435" max="7436" width="8.85546875" style="4"/>
    <col min="7437" max="7437" width="10.7109375" style="4" bestFit="1" customWidth="1"/>
    <col min="7438" max="7680" width="8.85546875" style="4"/>
    <col min="7681" max="7681" width="1.7109375" style="4" customWidth="1"/>
    <col min="7682" max="7682" width="40.7109375" style="4" customWidth="1"/>
    <col min="7683" max="7687" width="10.7109375" style="4" customWidth="1"/>
    <col min="7688" max="7688" width="11.42578125" style="4" customWidth="1"/>
    <col min="7689" max="7690" width="12" style="4" customWidth="1"/>
    <col min="7691" max="7692" width="8.85546875" style="4"/>
    <col min="7693" max="7693" width="10.7109375" style="4" bestFit="1" customWidth="1"/>
    <col min="7694" max="7936" width="8.85546875" style="4"/>
    <col min="7937" max="7937" width="1.7109375" style="4" customWidth="1"/>
    <col min="7938" max="7938" width="40.7109375" style="4" customWidth="1"/>
    <col min="7939" max="7943" width="10.7109375" style="4" customWidth="1"/>
    <col min="7944" max="7944" width="11.42578125" style="4" customWidth="1"/>
    <col min="7945" max="7946" width="12" style="4" customWidth="1"/>
    <col min="7947" max="7948" width="8.85546875" style="4"/>
    <col min="7949" max="7949" width="10.7109375" style="4" bestFit="1" customWidth="1"/>
    <col min="7950" max="8192" width="8.85546875" style="4"/>
    <col min="8193" max="8193" width="1.7109375" style="4" customWidth="1"/>
    <col min="8194" max="8194" width="40.7109375" style="4" customWidth="1"/>
    <col min="8195" max="8199" width="10.7109375" style="4" customWidth="1"/>
    <col min="8200" max="8200" width="11.42578125" style="4" customWidth="1"/>
    <col min="8201" max="8202" width="12" style="4" customWidth="1"/>
    <col min="8203" max="8204" width="8.85546875" style="4"/>
    <col min="8205" max="8205" width="10.7109375" style="4" bestFit="1" customWidth="1"/>
    <col min="8206" max="8448" width="8.85546875" style="4"/>
    <col min="8449" max="8449" width="1.7109375" style="4" customWidth="1"/>
    <col min="8450" max="8450" width="40.7109375" style="4" customWidth="1"/>
    <col min="8451" max="8455" width="10.7109375" style="4" customWidth="1"/>
    <col min="8456" max="8456" width="11.42578125" style="4" customWidth="1"/>
    <col min="8457" max="8458" width="12" style="4" customWidth="1"/>
    <col min="8459" max="8460" width="8.85546875" style="4"/>
    <col min="8461" max="8461" width="10.7109375" style="4" bestFit="1" customWidth="1"/>
    <col min="8462" max="8704" width="8.85546875" style="4"/>
    <col min="8705" max="8705" width="1.7109375" style="4" customWidth="1"/>
    <col min="8706" max="8706" width="40.7109375" style="4" customWidth="1"/>
    <col min="8707" max="8711" width="10.7109375" style="4" customWidth="1"/>
    <col min="8712" max="8712" width="11.42578125" style="4" customWidth="1"/>
    <col min="8713" max="8714" width="12" style="4" customWidth="1"/>
    <col min="8715" max="8716" width="8.85546875" style="4"/>
    <col min="8717" max="8717" width="10.7109375" style="4" bestFit="1" customWidth="1"/>
    <col min="8718" max="8960" width="8.85546875" style="4"/>
    <col min="8961" max="8961" width="1.7109375" style="4" customWidth="1"/>
    <col min="8962" max="8962" width="40.7109375" style="4" customWidth="1"/>
    <col min="8963" max="8967" width="10.7109375" style="4" customWidth="1"/>
    <col min="8968" max="8968" width="11.42578125" style="4" customWidth="1"/>
    <col min="8969" max="8970" width="12" style="4" customWidth="1"/>
    <col min="8971" max="8972" width="8.85546875" style="4"/>
    <col min="8973" max="8973" width="10.7109375" style="4" bestFit="1" customWidth="1"/>
    <col min="8974" max="9216" width="8.85546875" style="4"/>
    <col min="9217" max="9217" width="1.7109375" style="4" customWidth="1"/>
    <col min="9218" max="9218" width="40.7109375" style="4" customWidth="1"/>
    <col min="9219" max="9223" width="10.7109375" style="4" customWidth="1"/>
    <col min="9224" max="9224" width="11.42578125" style="4" customWidth="1"/>
    <col min="9225" max="9226" width="12" style="4" customWidth="1"/>
    <col min="9227" max="9228" width="8.85546875" style="4"/>
    <col min="9229" max="9229" width="10.7109375" style="4" bestFit="1" customWidth="1"/>
    <col min="9230" max="9472" width="8.85546875" style="4"/>
    <col min="9473" max="9473" width="1.7109375" style="4" customWidth="1"/>
    <col min="9474" max="9474" width="40.7109375" style="4" customWidth="1"/>
    <col min="9475" max="9479" width="10.7109375" style="4" customWidth="1"/>
    <col min="9480" max="9480" width="11.42578125" style="4" customWidth="1"/>
    <col min="9481" max="9482" width="12" style="4" customWidth="1"/>
    <col min="9483" max="9484" width="8.85546875" style="4"/>
    <col min="9485" max="9485" width="10.7109375" style="4" bestFit="1" customWidth="1"/>
    <col min="9486" max="9728" width="8.85546875" style="4"/>
    <col min="9729" max="9729" width="1.7109375" style="4" customWidth="1"/>
    <col min="9730" max="9730" width="40.7109375" style="4" customWidth="1"/>
    <col min="9731" max="9735" width="10.7109375" style="4" customWidth="1"/>
    <col min="9736" max="9736" width="11.42578125" style="4" customWidth="1"/>
    <col min="9737" max="9738" width="12" style="4" customWidth="1"/>
    <col min="9739" max="9740" width="8.85546875" style="4"/>
    <col min="9741" max="9741" width="10.7109375" style="4" bestFit="1" customWidth="1"/>
    <col min="9742" max="9984" width="8.85546875" style="4"/>
    <col min="9985" max="9985" width="1.7109375" style="4" customWidth="1"/>
    <col min="9986" max="9986" width="40.7109375" style="4" customWidth="1"/>
    <col min="9987" max="9991" width="10.7109375" style="4" customWidth="1"/>
    <col min="9992" max="9992" width="11.42578125" style="4" customWidth="1"/>
    <col min="9993" max="9994" width="12" style="4" customWidth="1"/>
    <col min="9995" max="9996" width="8.85546875" style="4"/>
    <col min="9997" max="9997" width="10.7109375" style="4" bestFit="1" customWidth="1"/>
    <col min="9998" max="10240" width="8.85546875" style="4"/>
    <col min="10241" max="10241" width="1.7109375" style="4" customWidth="1"/>
    <col min="10242" max="10242" width="40.7109375" style="4" customWidth="1"/>
    <col min="10243" max="10247" width="10.7109375" style="4" customWidth="1"/>
    <col min="10248" max="10248" width="11.42578125" style="4" customWidth="1"/>
    <col min="10249" max="10250" width="12" style="4" customWidth="1"/>
    <col min="10251" max="10252" width="8.85546875" style="4"/>
    <col min="10253" max="10253" width="10.7109375" style="4" bestFit="1" customWidth="1"/>
    <col min="10254" max="10496" width="8.85546875" style="4"/>
    <col min="10497" max="10497" width="1.7109375" style="4" customWidth="1"/>
    <col min="10498" max="10498" width="40.7109375" style="4" customWidth="1"/>
    <col min="10499" max="10503" width="10.7109375" style="4" customWidth="1"/>
    <col min="10504" max="10504" width="11.42578125" style="4" customWidth="1"/>
    <col min="10505" max="10506" width="12" style="4" customWidth="1"/>
    <col min="10507" max="10508" width="8.85546875" style="4"/>
    <col min="10509" max="10509" width="10.7109375" style="4" bestFit="1" customWidth="1"/>
    <col min="10510" max="10752" width="8.85546875" style="4"/>
    <col min="10753" max="10753" width="1.7109375" style="4" customWidth="1"/>
    <col min="10754" max="10754" width="40.7109375" style="4" customWidth="1"/>
    <col min="10755" max="10759" width="10.7109375" style="4" customWidth="1"/>
    <col min="10760" max="10760" width="11.42578125" style="4" customWidth="1"/>
    <col min="10761" max="10762" width="12" style="4" customWidth="1"/>
    <col min="10763" max="10764" width="8.85546875" style="4"/>
    <col min="10765" max="10765" width="10.7109375" style="4" bestFit="1" customWidth="1"/>
    <col min="10766" max="11008" width="8.85546875" style="4"/>
    <col min="11009" max="11009" width="1.7109375" style="4" customWidth="1"/>
    <col min="11010" max="11010" width="40.7109375" style="4" customWidth="1"/>
    <col min="11011" max="11015" width="10.7109375" style="4" customWidth="1"/>
    <col min="11016" max="11016" width="11.42578125" style="4" customWidth="1"/>
    <col min="11017" max="11018" width="12" style="4" customWidth="1"/>
    <col min="11019" max="11020" width="8.85546875" style="4"/>
    <col min="11021" max="11021" width="10.7109375" style="4" bestFit="1" customWidth="1"/>
    <col min="11022" max="11264" width="8.85546875" style="4"/>
    <col min="11265" max="11265" width="1.7109375" style="4" customWidth="1"/>
    <col min="11266" max="11266" width="40.7109375" style="4" customWidth="1"/>
    <col min="11267" max="11271" width="10.7109375" style="4" customWidth="1"/>
    <col min="11272" max="11272" width="11.42578125" style="4" customWidth="1"/>
    <col min="11273" max="11274" width="12" style="4" customWidth="1"/>
    <col min="11275" max="11276" width="8.85546875" style="4"/>
    <col min="11277" max="11277" width="10.7109375" style="4" bestFit="1" customWidth="1"/>
    <col min="11278" max="11520" width="8.85546875" style="4"/>
    <col min="11521" max="11521" width="1.7109375" style="4" customWidth="1"/>
    <col min="11522" max="11522" width="40.7109375" style="4" customWidth="1"/>
    <col min="11523" max="11527" width="10.7109375" style="4" customWidth="1"/>
    <col min="11528" max="11528" width="11.42578125" style="4" customWidth="1"/>
    <col min="11529" max="11530" width="12" style="4" customWidth="1"/>
    <col min="11531" max="11532" width="8.85546875" style="4"/>
    <col min="11533" max="11533" width="10.7109375" style="4" bestFit="1" customWidth="1"/>
    <col min="11534" max="11776" width="8.85546875" style="4"/>
    <col min="11777" max="11777" width="1.7109375" style="4" customWidth="1"/>
    <col min="11778" max="11778" width="40.7109375" style="4" customWidth="1"/>
    <col min="11779" max="11783" width="10.7109375" style="4" customWidth="1"/>
    <col min="11784" max="11784" width="11.42578125" style="4" customWidth="1"/>
    <col min="11785" max="11786" width="12" style="4" customWidth="1"/>
    <col min="11787" max="11788" width="8.85546875" style="4"/>
    <col min="11789" max="11789" width="10.7109375" style="4" bestFit="1" customWidth="1"/>
    <col min="11790" max="12032" width="8.85546875" style="4"/>
    <col min="12033" max="12033" width="1.7109375" style="4" customWidth="1"/>
    <col min="12034" max="12034" width="40.7109375" style="4" customWidth="1"/>
    <col min="12035" max="12039" width="10.7109375" style="4" customWidth="1"/>
    <col min="12040" max="12040" width="11.42578125" style="4" customWidth="1"/>
    <col min="12041" max="12042" width="12" style="4" customWidth="1"/>
    <col min="12043" max="12044" width="8.85546875" style="4"/>
    <col min="12045" max="12045" width="10.7109375" style="4" bestFit="1" customWidth="1"/>
    <col min="12046" max="12288" width="8.85546875" style="4"/>
    <col min="12289" max="12289" width="1.7109375" style="4" customWidth="1"/>
    <col min="12290" max="12290" width="40.7109375" style="4" customWidth="1"/>
    <col min="12291" max="12295" width="10.7109375" style="4" customWidth="1"/>
    <col min="12296" max="12296" width="11.42578125" style="4" customWidth="1"/>
    <col min="12297" max="12298" width="12" style="4" customWidth="1"/>
    <col min="12299" max="12300" width="8.85546875" style="4"/>
    <col min="12301" max="12301" width="10.7109375" style="4" bestFit="1" customWidth="1"/>
    <col min="12302" max="12544" width="8.85546875" style="4"/>
    <col min="12545" max="12545" width="1.7109375" style="4" customWidth="1"/>
    <col min="12546" max="12546" width="40.7109375" style="4" customWidth="1"/>
    <col min="12547" max="12551" width="10.7109375" style="4" customWidth="1"/>
    <col min="12552" max="12552" width="11.42578125" style="4" customWidth="1"/>
    <col min="12553" max="12554" width="12" style="4" customWidth="1"/>
    <col min="12555" max="12556" width="8.85546875" style="4"/>
    <col min="12557" max="12557" width="10.7109375" style="4" bestFit="1" customWidth="1"/>
    <col min="12558" max="12800" width="8.85546875" style="4"/>
    <col min="12801" max="12801" width="1.7109375" style="4" customWidth="1"/>
    <col min="12802" max="12802" width="40.7109375" style="4" customWidth="1"/>
    <col min="12803" max="12807" width="10.7109375" style="4" customWidth="1"/>
    <col min="12808" max="12808" width="11.42578125" style="4" customWidth="1"/>
    <col min="12809" max="12810" width="12" style="4" customWidth="1"/>
    <col min="12811" max="12812" width="8.85546875" style="4"/>
    <col min="12813" max="12813" width="10.7109375" style="4" bestFit="1" customWidth="1"/>
    <col min="12814" max="13056" width="8.85546875" style="4"/>
    <col min="13057" max="13057" width="1.7109375" style="4" customWidth="1"/>
    <col min="13058" max="13058" width="40.7109375" style="4" customWidth="1"/>
    <col min="13059" max="13063" width="10.7109375" style="4" customWidth="1"/>
    <col min="13064" max="13064" width="11.42578125" style="4" customWidth="1"/>
    <col min="13065" max="13066" width="12" style="4" customWidth="1"/>
    <col min="13067" max="13068" width="8.85546875" style="4"/>
    <col min="13069" max="13069" width="10.7109375" style="4" bestFit="1" customWidth="1"/>
    <col min="13070" max="13312" width="8.85546875" style="4"/>
    <col min="13313" max="13313" width="1.7109375" style="4" customWidth="1"/>
    <col min="13314" max="13314" width="40.7109375" style="4" customWidth="1"/>
    <col min="13315" max="13319" width="10.7109375" style="4" customWidth="1"/>
    <col min="13320" max="13320" width="11.42578125" style="4" customWidth="1"/>
    <col min="13321" max="13322" width="12" style="4" customWidth="1"/>
    <col min="13323" max="13324" width="8.85546875" style="4"/>
    <col min="13325" max="13325" width="10.7109375" style="4" bestFit="1" customWidth="1"/>
    <col min="13326" max="13568" width="8.85546875" style="4"/>
    <col min="13569" max="13569" width="1.7109375" style="4" customWidth="1"/>
    <col min="13570" max="13570" width="40.7109375" style="4" customWidth="1"/>
    <col min="13571" max="13575" width="10.7109375" style="4" customWidth="1"/>
    <col min="13576" max="13576" width="11.42578125" style="4" customWidth="1"/>
    <col min="13577" max="13578" width="12" style="4" customWidth="1"/>
    <col min="13579" max="13580" width="8.85546875" style="4"/>
    <col min="13581" max="13581" width="10.7109375" style="4" bestFit="1" customWidth="1"/>
    <col min="13582" max="13824" width="8.85546875" style="4"/>
    <col min="13825" max="13825" width="1.7109375" style="4" customWidth="1"/>
    <col min="13826" max="13826" width="40.7109375" style="4" customWidth="1"/>
    <col min="13827" max="13831" width="10.7109375" style="4" customWidth="1"/>
    <col min="13832" max="13832" width="11.42578125" style="4" customWidth="1"/>
    <col min="13833" max="13834" width="12" style="4" customWidth="1"/>
    <col min="13835" max="13836" width="8.85546875" style="4"/>
    <col min="13837" max="13837" width="10.7109375" style="4" bestFit="1" customWidth="1"/>
    <col min="13838" max="14080" width="8.85546875" style="4"/>
    <col min="14081" max="14081" width="1.7109375" style="4" customWidth="1"/>
    <col min="14082" max="14082" width="40.7109375" style="4" customWidth="1"/>
    <col min="14083" max="14087" width="10.7109375" style="4" customWidth="1"/>
    <col min="14088" max="14088" width="11.42578125" style="4" customWidth="1"/>
    <col min="14089" max="14090" width="12" style="4" customWidth="1"/>
    <col min="14091" max="14092" width="8.85546875" style="4"/>
    <col min="14093" max="14093" width="10.7109375" style="4" bestFit="1" customWidth="1"/>
    <col min="14094" max="14336" width="8.85546875" style="4"/>
    <col min="14337" max="14337" width="1.7109375" style="4" customWidth="1"/>
    <col min="14338" max="14338" width="40.7109375" style="4" customWidth="1"/>
    <col min="14339" max="14343" width="10.7109375" style="4" customWidth="1"/>
    <col min="14344" max="14344" width="11.42578125" style="4" customWidth="1"/>
    <col min="14345" max="14346" width="12" style="4" customWidth="1"/>
    <col min="14347" max="14348" width="8.85546875" style="4"/>
    <col min="14349" max="14349" width="10.7109375" style="4" bestFit="1" customWidth="1"/>
    <col min="14350" max="14592" width="8.85546875" style="4"/>
    <col min="14593" max="14593" width="1.7109375" style="4" customWidth="1"/>
    <col min="14594" max="14594" width="40.7109375" style="4" customWidth="1"/>
    <col min="14595" max="14599" width="10.7109375" style="4" customWidth="1"/>
    <col min="14600" max="14600" width="11.42578125" style="4" customWidth="1"/>
    <col min="14601" max="14602" width="12" style="4" customWidth="1"/>
    <col min="14603" max="14604" width="8.85546875" style="4"/>
    <col min="14605" max="14605" width="10.7109375" style="4" bestFit="1" customWidth="1"/>
    <col min="14606" max="14848" width="8.85546875" style="4"/>
    <col min="14849" max="14849" width="1.7109375" style="4" customWidth="1"/>
    <col min="14850" max="14850" width="40.7109375" style="4" customWidth="1"/>
    <col min="14851" max="14855" width="10.7109375" style="4" customWidth="1"/>
    <col min="14856" max="14856" width="11.42578125" style="4" customWidth="1"/>
    <col min="14857" max="14858" width="12" style="4" customWidth="1"/>
    <col min="14859" max="14860" width="8.85546875" style="4"/>
    <col min="14861" max="14861" width="10.7109375" style="4" bestFit="1" customWidth="1"/>
    <col min="14862" max="15104" width="8.85546875" style="4"/>
    <col min="15105" max="15105" width="1.7109375" style="4" customWidth="1"/>
    <col min="15106" max="15106" width="40.7109375" style="4" customWidth="1"/>
    <col min="15107" max="15111" width="10.7109375" style="4" customWidth="1"/>
    <col min="15112" max="15112" width="11.42578125" style="4" customWidth="1"/>
    <col min="15113" max="15114" width="12" style="4" customWidth="1"/>
    <col min="15115" max="15116" width="8.85546875" style="4"/>
    <col min="15117" max="15117" width="10.7109375" style="4" bestFit="1" customWidth="1"/>
    <col min="15118" max="15360" width="8.85546875" style="4"/>
    <col min="15361" max="15361" width="1.7109375" style="4" customWidth="1"/>
    <col min="15362" max="15362" width="40.7109375" style="4" customWidth="1"/>
    <col min="15363" max="15367" width="10.7109375" style="4" customWidth="1"/>
    <col min="15368" max="15368" width="11.42578125" style="4" customWidth="1"/>
    <col min="15369" max="15370" width="12" style="4" customWidth="1"/>
    <col min="15371" max="15372" width="8.85546875" style="4"/>
    <col min="15373" max="15373" width="10.7109375" style="4" bestFit="1" customWidth="1"/>
    <col min="15374" max="15616" width="8.85546875" style="4"/>
    <col min="15617" max="15617" width="1.7109375" style="4" customWidth="1"/>
    <col min="15618" max="15618" width="40.7109375" style="4" customWidth="1"/>
    <col min="15619" max="15623" width="10.7109375" style="4" customWidth="1"/>
    <col min="15624" max="15624" width="11.42578125" style="4" customWidth="1"/>
    <col min="15625" max="15626" width="12" style="4" customWidth="1"/>
    <col min="15627" max="15628" width="8.85546875" style="4"/>
    <col min="15629" max="15629" width="10.7109375" style="4" bestFit="1" customWidth="1"/>
    <col min="15630" max="15872" width="8.85546875" style="4"/>
    <col min="15873" max="15873" width="1.7109375" style="4" customWidth="1"/>
    <col min="15874" max="15874" width="40.7109375" style="4" customWidth="1"/>
    <col min="15875" max="15879" width="10.7109375" style="4" customWidth="1"/>
    <col min="15880" max="15880" width="11.42578125" style="4" customWidth="1"/>
    <col min="15881" max="15882" width="12" style="4" customWidth="1"/>
    <col min="15883" max="15884" width="8.85546875" style="4"/>
    <col min="15885" max="15885" width="10.7109375" style="4" bestFit="1" customWidth="1"/>
    <col min="15886" max="16128" width="8.85546875" style="4"/>
    <col min="16129" max="16129" width="1.7109375" style="4" customWidth="1"/>
    <col min="16130" max="16130" width="40.7109375" style="4" customWidth="1"/>
    <col min="16131" max="16135" width="10.7109375" style="4" customWidth="1"/>
    <col min="16136" max="16136" width="11.42578125" style="4" customWidth="1"/>
    <col min="16137" max="16138" width="12" style="4" customWidth="1"/>
    <col min="16139" max="16140" width="8.85546875" style="4"/>
    <col min="16141" max="16141" width="10.7109375" style="4" bestFit="1" customWidth="1"/>
    <col min="16142" max="16384" width="8.85546875" style="4"/>
  </cols>
  <sheetData>
    <row r="1" spans="1:15" s="2" customFormat="1" ht="19.5">
      <c r="A1" s="293" t="str">
        <f>CoName</f>
        <v>Fast Retailing</v>
      </c>
      <c r="B1" s="3"/>
      <c r="C1" s="43" t="s">
        <v>0</v>
      </c>
      <c r="D1" s="43" t="s">
        <v>0</v>
      </c>
      <c r="E1" s="43" t="s">
        <v>0</v>
      </c>
      <c r="F1" s="43" t="s">
        <v>1</v>
      </c>
      <c r="G1" s="43" t="s">
        <v>1</v>
      </c>
      <c r="H1" s="43" t="s">
        <v>1</v>
      </c>
      <c r="I1" s="43" t="s">
        <v>1</v>
      </c>
      <c r="J1" s="43" t="s">
        <v>1</v>
      </c>
      <c r="K1" s="43" t="s">
        <v>1</v>
      </c>
      <c r="L1" s="43" t="s">
        <v>1</v>
      </c>
      <c r="M1" s="43" t="s">
        <v>1</v>
      </c>
      <c r="N1" s="43"/>
      <c r="O1" s="43"/>
    </row>
    <row r="2" spans="1:15">
      <c r="A2" s="17" t="s">
        <v>9</v>
      </c>
      <c r="B2" s="16"/>
      <c r="C2" s="292">
        <v>45291</v>
      </c>
      <c r="D2" s="292">
        <f>C2+365</f>
        <v>45656</v>
      </c>
      <c r="E2" s="292">
        <f t="shared" ref="E2:M2" si="0">D2+365</f>
        <v>46021</v>
      </c>
      <c r="F2" s="292">
        <f t="shared" si="0"/>
        <v>46386</v>
      </c>
      <c r="G2" s="292">
        <f t="shared" si="0"/>
        <v>46751</v>
      </c>
      <c r="H2" s="292">
        <f t="shared" si="0"/>
        <v>47116</v>
      </c>
      <c r="I2" s="292">
        <f t="shared" si="0"/>
        <v>47481</v>
      </c>
      <c r="J2" s="292">
        <f t="shared" si="0"/>
        <v>47846</v>
      </c>
      <c r="K2" s="292">
        <f t="shared" si="0"/>
        <v>48211</v>
      </c>
      <c r="L2" s="292">
        <f t="shared" si="0"/>
        <v>48576</v>
      </c>
      <c r="M2" s="292">
        <f t="shared" si="0"/>
        <v>48941</v>
      </c>
    </row>
    <row r="3" spans="1:15">
      <c r="A3" s="88"/>
      <c r="C3" s="101"/>
      <c r="D3" s="101"/>
      <c r="E3" s="101"/>
    </row>
    <row r="4" spans="1:15">
      <c r="B4" s="32" t="s">
        <v>42</v>
      </c>
      <c r="C4" s="33"/>
      <c r="D4" s="33"/>
      <c r="E4" s="34"/>
      <c r="F4" s="192">
        <f>Assumptions!F10</f>
        <v>0.10242529021154589</v>
      </c>
      <c r="G4" s="192">
        <f>Assumptions!G10</f>
        <v>0.10413621249155858</v>
      </c>
      <c r="H4" s="192">
        <f>Assumptions!H10</f>
        <v>0.10588189677860016</v>
      </c>
      <c r="I4" s="192">
        <f>Assumptions!I10</f>
        <v>0.10766207234510894</v>
      </c>
      <c r="J4" s="192">
        <f>Assumptions!J10</f>
        <v>0.10947634381514182</v>
      </c>
      <c r="K4" s="192">
        <f>Assumptions!K10</f>
        <v>0.11132416937035572</v>
      </c>
      <c r="L4" s="192">
        <f>Assumptions!L10</f>
        <v>0.11320483839529305</v>
      </c>
      <c r="M4" s="192">
        <f>Assumptions!M10</f>
        <v>0.11511744915131672</v>
      </c>
      <c r="N4" s="228"/>
      <c r="O4" s="228"/>
    </row>
    <row r="5" spans="1:15">
      <c r="B5" s="32" t="s">
        <v>43</v>
      </c>
      <c r="C5" s="33"/>
      <c r="D5" s="33"/>
      <c r="E5" s="33"/>
      <c r="F5" s="192">
        <f>Assumptions!F11</f>
        <v>0.46218584759651338</v>
      </c>
      <c r="G5" s="192">
        <f>Assumptions!G11</f>
        <v>0.46218584759651338</v>
      </c>
      <c r="H5" s="192">
        <f>Assumptions!H11</f>
        <v>0.46218584759651338</v>
      </c>
      <c r="I5" s="192">
        <f>Assumptions!I11</f>
        <v>0.46218584759651338</v>
      </c>
      <c r="J5" s="192">
        <f>Assumptions!J11</f>
        <v>0.46218584759651338</v>
      </c>
      <c r="K5" s="192">
        <f>Assumptions!K11</f>
        <v>0.46218584759651338</v>
      </c>
      <c r="L5" s="192">
        <f>Assumptions!L11</f>
        <v>0.46218584759651338</v>
      </c>
      <c r="M5" s="192">
        <f>Assumptions!M11</f>
        <v>0.46218584759651338</v>
      </c>
      <c r="N5" s="228"/>
      <c r="O5" s="228"/>
    </row>
    <row r="6" spans="1:15">
      <c r="B6" s="32" t="s">
        <v>44</v>
      </c>
      <c r="C6" s="33"/>
      <c r="D6" s="33"/>
      <c r="E6" s="33"/>
      <c r="F6" s="192">
        <f>Assumptions!F12</f>
        <v>0.37573484674047264</v>
      </c>
      <c r="G6" s="192">
        <f>Assumptions!G12</f>
        <v>0.37573484674047264</v>
      </c>
      <c r="H6" s="192">
        <f>Assumptions!H12</f>
        <v>0.37573484674047264</v>
      </c>
      <c r="I6" s="192">
        <f>Assumptions!I12</f>
        <v>0.37573484674047264</v>
      </c>
      <c r="J6" s="192">
        <f>Assumptions!J12</f>
        <v>0.37573484674047264</v>
      </c>
      <c r="K6" s="192">
        <f>Assumptions!K12</f>
        <v>0.37573484674047264</v>
      </c>
      <c r="L6" s="192">
        <f>Assumptions!L12</f>
        <v>0.37573484674047264</v>
      </c>
      <c r="M6" s="192">
        <f>Assumptions!M12</f>
        <v>0.37573484674047264</v>
      </c>
      <c r="N6" s="228"/>
      <c r="O6" s="228"/>
    </row>
    <row r="7" spans="1:15">
      <c r="A7" s="88"/>
      <c r="B7" s="4" t="s">
        <v>45</v>
      </c>
      <c r="C7" s="32"/>
      <c r="D7" s="32"/>
      <c r="E7" s="32"/>
      <c r="F7" s="193">
        <f>Assumptions!F13</f>
        <v>0</v>
      </c>
      <c r="G7" s="193">
        <f>Assumptions!G13</f>
        <v>0</v>
      </c>
      <c r="H7" s="193">
        <f>Assumptions!H13</f>
        <v>0</v>
      </c>
      <c r="I7" s="193">
        <f>Assumptions!I13</f>
        <v>0</v>
      </c>
      <c r="J7" s="193">
        <f>Assumptions!J13</f>
        <v>0</v>
      </c>
      <c r="K7" s="193">
        <f>Assumptions!K13</f>
        <v>0</v>
      </c>
      <c r="L7" s="193">
        <f>Assumptions!L13</f>
        <v>0</v>
      </c>
      <c r="M7" s="193">
        <f>Assumptions!M13</f>
        <v>0</v>
      </c>
      <c r="N7" s="229"/>
      <c r="O7" s="229"/>
    </row>
    <row r="8" spans="1:15">
      <c r="A8" s="88"/>
      <c r="B8" s="4" t="s">
        <v>46</v>
      </c>
      <c r="C8" s="32"/>
      <c r="D8" s="32"/>
      <c r="E8" s="32"/>
      <c r="F8" s="194">
        <f>Assumptions!F14</f>
        <v>0</v>
      </c>
      <c r="G8" s="194">
        <f>Assumptions!G14</f>
        <v>0</v>
      </c>
      <c r="H8" s="194">
        <f>Assumptions!H14</f>
        <v>0</v>
      </c>
      <c r="I8" s="194">
        <f>Assumptions!I14</f>
        <v>0</v>
      </c>
      <c r="J8" s="194">
        <f>Assumptions!J14</f>
        <v>0</v>
      </c>
      <c r="K8" s="194">
        <f>Assumptions!K14</f>
        <v>0</v>
      </c>
      <c r="L8" s="194">
        <f>Assumptions!L14</f>
        <v>0</v>
      </c>
      <c r="M8" s="194">
        <f>Assumptions!M14</f>
        <v>0</v>
      </c>
      <c r="N8" s="230"/>
      <c r="O8" s="230"/>
    </row>
    <row r="9" spans="1:15">
      <c r="B9" s="4" t="s">
        <v>147</v>
      </c>
      <c r="F9" s="194">
        <f>Assumptions!F15</f>
        <v>0</v>
      </c>
      <c r="G9" s="194">
        <f>Assumptions!G15</f>
        <v>0</v>
      </c>
      <c r="H9" s="194">
        <f>Assumptions!H15</f>
        <v>0</v>
      </c>
      <c r="I9" s="194">
        <f>Assumptions!I15</f>
        <v>0</v>
      </c>
      <c r="J9" s="194">
        <f>Assumptions!J15</f>
        <v>0</v>
      </c>
      <c r="K9" s="194">
        <f>Assumptions!K15</f>
        <v>0</v>
      </c>
      <c r="L9" s="194">
        <f>Assumptions!L15</f>
        <v>0</v>
      </c>
      <c r="M9" s="194">
        <f>Assumptions!M15</f>
        <v>0</v>
      </c>
      <c r="N9" s="230"/>
      <c r="O9" s="230"/>
    </row>
    <row r="10" spans="1:15">
      <c r="B10" s="32" t="s">
        <v>47</v>
      </c>
      <c r="C10" s="45"/>
      <c r="D10" s="45"/>
      <c r="E10" s="45"/>
      <c r="F10" s="192">
        <f>Assumptions!F16</f>
        <v>0.29423401488531664</v>
      </c>
      <c r="G10" s="192">
        <f>Assumptions!G16</f>
        <v>0.29423401488531664</v>
      </c>
      <c r="H10" s="192">
        <f>Assumptions!H16</f>
        <v>0.29423401488531664</v>
      </c>
      <c r="I10" s="192">
        <f>Assumptions!I16</f>
        <v>0.29423401488531664</v>
      </c>
      <c r="J10" s="192">
        <f>Assumptions!J16</f>
        <v>0.29423401488531664</v>
      </c>
      <c r="K10" s="192">
        <f>Assumptions!K16</f>
        <v>0.29423401488531664</v>
      </c>
      <c r="L10" s="192">
        <f>Assumptions!L16</f>
        <v>0.29423401488531664</v>
      </c>
      <c r="M10" s="192">
        <f>Assumptions!M16</f>
        <v>0.29423401488531664</v>
      </c>
      <c r="N10" s="228"/>
      <c r="O10" s="228"/>
    </row>
    <row r="11" spans="1:15">
      <c r="B11" s="4" t="s">
        <v>141</v>
      </c>
      <c r="C11" s="8"/>
      <c r="D11" s="8"/>
      <c r="E11" s="28"/>
      <c r="F11" s="338">
        <f>Assumptions!F17</f>
        <v>550</v>
      </c>
      <c r="G11" s="338">
        <f>Assumptions!G17</f>
        <v>600</v>
      </c>
      <c r="H11" s="338">
        <f>Assumptions!H17</f>
        <v>650</v>
      </c>
      <c r="I11" s="338">
        <f>Assumptions!I17</f>
        <v>700</v>
      </c>
      <c r="J11" s="338">
        <f>Assumptions!J17</f>
        <v>750</v>
      </c>
      <c r="K11" s="338">
        <f>Assumptions!K17</f>
        <v>800</v>
      </c>
      <c r="L11" s="338">
        <f>Assumptions!L17</f>
        <v>850</v>
      </c>
      <c r="M11" s="338">
        <f>Assumptions!M17</f>
        <v>900</v>
      </c>
      <c r="N11" s="231"/>
      <c r="O11" s="231"/>
    </row>
    <row r="12" spans="1:15">
      <c r="B12" s="4" t="s">
        <v>48</v>
      </c>
      <c r="C12" s="32"/>
      <c r="D12" s="32"/>
      <c r="E12" s="41"/>
      <c r="F12" s="194">
        <f>Assumptions!F18</f>
        <v>306.81960199999997</v>
      </c>
      <c r="G12" s="194">
        <f>Assumptions!G18</f>
        <v>306.81960199999997</v>
      </c>
      <c r="H12" s="194">
        <f>Assumptions!H18</f>
        <v>306.81960199999997</v>
      </c>
      <c r="I12" s="194">
        <f>Assumptions!I18</f>
        <v>306.81960199999997</v>
      </c>
      <c r="J12" s="194">
        <f>Assumptions!J18</f>
        <v>306.81960199999997</v>
      </c>
      <c r="K12" s="194">
        <f>Assumptions!K18</f>
        <v>306.81960199999997</v>
      </c>
      <c r="L12" s="194">
        <f>Assumptions!L18</f>
        <v>306.81960199999997</v>
      </c>
      <c r="M12" s="194">
        <f>Assumptions!M18</f>
        <v>306.81960199999997</v>
      </c>
      <c r="N12" s="230"/>
      <c r="O12" s="230"/>
    </row>
    <row r="13" spans="1:15">
      <c r="B13" s="4" t="s">
        <v>49</v>
      </c>
      <c r="C13" s="32"/>
      <c r="D13" s="32"/>
      <c r="E13" s="41"/>
      <c r="F13" s="194">
        <f>Assumptions!F19</f>
        <v>318.22139099999998</v>
      </c>
      <c r="G13" s="194">
        <f>Assumptions!G19</f>
        <v>318.22139099999998</v>
      </c>
      <c r="H13" s="194">
        <f>Assumptions!H19</f>
        <v>318.22139099999998</v>
      </c>
      <c r="I13" s="194">
        <f>Assumptions!I19</f>
        <v>318.22139099999998</v>
      </c>
      <c r="J13" s="194">
        <f>Assumptions!J19</f>
        <v>318.22139099999998</v>
      </c>
      <c r="K13" s="194">
        <f>Assumptions!K19</f>
        <v>318.22139099999998</v>
      </c>
      <c r="L13" s="194">
        <f>Assumptions!L19</f>
        <v>318.22139099999998</v>
      </c>
      <c r="M13" s="194">
        <f>Assumptions!M19</f>
        <v>318.22139099999998</v>
      </c>
      <c r="N13" s="230"/>
      <c r="O13" s="230"/>
    </row>
    <row r="14" spans="1:1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4.85" customHeight="1">
      <c r="A15" s="195" t="s">
        <v>41</v>
      </c>
      <c r="B15" s="196"/>
      <c r="C15" s="157">
        <v>45291</v>
      </c>
      <c r="D15" s="157">
        <v>45656</v>
      </c>
      <c r="E15" s="157">
        <v>46021</v>
      </c>
      <c r="F15" s="157">
        <v>46386</v>
      </c>
      <c r="G15" s="157">
        <v>46751</v>
      </c>
      <c r="H15" s="157">
        <v>47116</v>
      </c>
      <c r="I15" s="157">
        <v>47481</v>
      </c>
      <c r="J15" s="157">
        <v>47846</v>
      </c>
      <c r="K15" s="200">
        <v>48211</v>
      </c>
      <c r="L15" s="200">
        <v>48576</v>
      </c>
      <c r="M15" s="200">
        <v>48941</v>
      </c>
      <c r="N15" s="225"/>
      <c r="O15" s="225"/>
    </row>
    <row r="16" spans="1:15">
      <c r="B16" s="4" t="s">
        <v>50</v>
      </c>
      <c r="C16" s="99">
        <v>2766557</v>
      </c>
      <c r="D16" s="127">
        <v>3103836</v>
      </c>
      <c r="E16" s="24">
        <v>3400539</v>
      </c>
      <c r="F16" s="4">
        <f>E16*(1+F4)</f>
        <v>3748840.1939506801</v>
      </c>
      <c r="G16" s="4">
        <f t="shared" ref="G16:M16" si="1">F16*(1+G4)</f>
        <v>4139230.2129848236</v>
      </c>
      <c r="H16" s="4">
        <f t="shared" si="1"/>
        <v>4577499.7591389455</v>
      </c>
      <c r="I16" s="4">
        <f t="shared" si="1"/>
        <v>5070322.8693670817</v>
      </c>
      <c r="J16" s="4">
        <f t="shared" si="1"/>
        <v>5625403.2790676886</v>
      </c>
      <c r="K16" s="4">
        <f t="shared" si="1"/>
        <v>6251646.626483174</v>
      </c>
      <c r="L16" s="4">
        <f t="shared" si="1"/>
        <v>6959363.2725386806</v>
      </c>
      <c r="M16" s="4">
        <f t="shared" si="1"/>
        <v>7760507.4201906929</v>
      </c>
    </row>
    <row r="17" spans="1:15">
      <c r="B17" s="4" t="s">
        <v>159</v>
      </c>
      <c r="C17" s="127">
        <v>1330196</v>
      </c>
      <c r="D17" s="127">
        <v>1430764</v>
      </c>
      <c r="E17" s="24">
        <v>1571681</v>
      </c>
      <c r="F17" s="190">
        <f>F16*F5</f>
        <v>1732660.8825449727</v>
      </c>
      <c r="G17" s="190">
        <f t="shared" ref="G17:M17" si="2">G16*G5</f>
        <v>1913093.6243854873</v>
      </c>
      <c r="H17" s="190">
        <f t="shared" si="2"/>
        <v>2115655.6060504694</v>
      </c>
      <c r="I17" s="190">
        <f t="shared" si="2"/>
        <v>2343431.4729664102</v>
      </c>
      <c r="J17" s="190">
        <f t="shared" si="2"/>
        <v>2599981.7826081053</v>
      </c>
      <c r="K17" s="190">
        <f t="shared" si="2"/>
        <v>2889422.5949350093</v>
      </c>
      <c r="L17" s="190">
        <f t="shared" si="2"/>
        <v>3216519.2128503351</v>
      </c>
      <c r="M17" s="190">
        <f t="shared" si="2"/>
        <v>3586796.6997798667</v>
      </c>
      <c r="N17" s="227"/>
      <c r="O17" s="227"/>
    </row>
    <row r="18" spans="1:15">
      <c r="B18" s="4" t="s">
        <v>51</v>
      </c>
      <c r="C18" s="127">
        <v>1054360</v>
      </c>
      <c r="D18" s="127">
        <v>1187713</v>
      </c>
      <c r="E18" s="24">
        <v>1277701</v>
      </c>
      <c r="F18" s="190">
        <f>F16*F6</f>
        <v>1408569.8957285825</v>
      </c>
      <c r="G18" s="190">
        <f t="shared" ref="G18:M18" si="3">G16*G6</f>
        <v>1555253.0296993866</v>
      </c>
      <c r="H18" s="190">
        <f t="shared" si="3"/>
        <v>1719926.170454622</v>
      </c>
      <c r="I18" s="190">
        <f t="shared" si="3"/>
        <v>1905096.9862463539</v>
      </c>
      <c r="J18" s="190">
        <f t="shared" si="3"/>
        <v>2113660.0389138502</v>
      </c>
      <c r="K18" s="190">
        <f t="shared" si="3"/>
        <v>2348961.4870772483</v>
      </c>
      <c r="L18" s="190">
        <f t="shared" si="3"/>
        <v>2614875.2926185951</v>
      </c>
      <c r="M18" s="190">
        <f t="shared" si="3"/>
        <v>2915893.0661536506</v>
      </c>
      <c r="N18" s="227"/>
      <c r="O18" s="227"/>
    </row>
    <row r="19" spans="1:15" s="11" customFormat="1">
      <c r="A19" s="11" t="s">
        <v>125</v>
      </c>
      <c r="B19" s="18" t="s">
        <v>54</v>
      </c>
      <c r="C19" s="19">
        <f>C16-SUM(C17:C18)</f>
        <v>382001</v>
      </c>
      <c r="D19" s="19">
        <f>D16-SUM(D17:D18)</f>
        <v>485359</v>
      </c>
      <c r="E19" s="19">
        <f>E16-SUM(E17:E18)</f>
        <v>551157</v>
      </c>
      <c r="F19" s="19">
        <f>F16-SUM(F17:F18)</f>
        <v>607609.41567712463</v>
      </c>
      <c r="G19" s="19">
        <f t="shared" ref="G19:M19" si="4">G16-SUM(G17:G18)</f>
        <v>670883.55889994977</v>
      </c>
      <c r="H19" s="19">
        <f t="shared" si="4"/>
        <v>741917.98263385426</v>
      </c>
      <c r="I19" s="19">
        <f t="shared" si="4"/>
        <v>821794.41015431751</v>
      </c>
      <c r="J19" s="19">
        <f t="shared" si="4"/>
        <v>911761.45754573308</v>
      </c>
      <c r="K19" s="19">
        <f t="shared" si="4"/>
        <v>1013262.5444709165</v>
      </c>
      <c r="L19" s="19">
        <f t="shared" si="4"/>
        <v>1127968.7670697505</v>
      </c>
      <c r="M19" s="20">
        <f t="shared" si="4"/>
        <v>1257817.6542571755</v>
      </c>
    </row>
    <row r="20" spans="1:15" s="11" customFormat="1">
      <c r="E20" s="37"/>
    </row>
    <row r="21" spans="1:15" s="11" customFormat="1">
      <c r="B21" s="4" t="s">
        <v>14</v>
      </c>
      <c r="C21" s="128">
        <v>186872</v>
      </c>
      <c r="D21" s="128">
        <v>204388</v>
      </c>
      <c r="E21" s="27">
        <v>216492</v>
      </c>
      <c r="F21" s="4">
        <f>Calcs!F8</f>
        <v>256899.99999999997</v>
      </c>
      <c r="G21" s="4">
        <f>Calcs!G8</f>
        <v>215473.848045766</v>
      </c>
      <c r="H21" s="4">
        <f>Calcs!H8</f>
        <v>198735.29895722176</v>
      </c>
      <c r="I21" s="4">
        <f>Calcs!I8</f>
        <v>192777.53157683407</v>
      </c>
      <c r="J21" s="4">
        <f>Calcs!J8</f>
        <v>194859.71973724785</v>
      </c>
      <c r="K21" s="4">
        <f>Calcs!K8</f>
        <v>203207.01908800993</v>
      </c>
      <c r="L21" s="4">
        <f>Calcs!L8</f>
        <v>216718.98877331329</v>
      </c>
      <c r="M21" s="4">
        <f>Calcs!M8</f>
        <v>234773.08235440252</v>
      </c>
      <c r="N21" s="4"/>
      <c r="O21" s="4"/>
    </row>
    <row r="22" spans="1:15" s="11" customFormat="1">
      <c r="B22" s="4" t="s">
        <v>53</v>
      </c>
      <c r="C22" s="99">
        <v>0</v>
      </c>
      <c r="D22" s="99">
        <v>0</v>
      </c>
      <c r="E22" s="129">
        <v>0</v>
      </c>
      <c r="F22" s="4">
        <f>F7</f>
        <v>0</v>
      </c>
      <c r="G22" s="4">
        <f t="shared" ref="G22:M22" si="5">G7</f>
        <v>0</v>
      </c>
      <c r="H22" s="4">
        <f t="shared" si="5"/>
        <v>0</v>
      </c>
      <c r="I22" s="4">
        <f t="shared" si="5"/>
        <v>0</v>
      </c>
      <c r="J22" s="4">
        <f t="shared" si="5"/>
        <v>0</v>
      </c>
      <c r="K22" s="4">
        <f t="shared" si="5"/>
        <v>0</v>
      </c>
      <c r="L22" s="4">
        <f t="shared" si="5"/>
        <v>0</v>
      </c>
      <c r="M22" s="4">
        <f t="shared" si="5"/>
        <v>0</v>
      </c>
      <c r="N22" s="4"/>
      <c r="O22" s="4"/>
    </row>
    <row r="23" spans="1:15" s="132" customFormat="1">
      <c r="A23" s="132" t="s">
        <v>125</v>
      </c>
      <c r="B23" s="133" t="s">
        <v>52</v>
      </c>
      <c r="C23" s="134">
        <f>C19+C21</f>
        <v>568873</v>
      </c>
      <c r="D23" s="134">
        <f t="shared" ref="D23:F23" si="6">D19+D21</f>
        <v>689747</v>
      </c>
      <c r="E23" s="134">
        <f t="shared" si="6"/>
        <v>767649</v>
      </c>
      <c r="F23" s="134">
        <f t="shared" si="6"/>
        <v>864509.41567712463</v>
      </c>
      <c r="G23" s="134">
        <f t="shared" ref="G23:M23" si="7">G19+G21</f>
        <v>886357.40694571577</v>
      </c>
      <c r="H23" s="134">
        <f t="shared" si="7"/>
        <v>940653.28159107605</v>
      </c>
      <c r="I23" s="134">
        <f t="shared" si="7"/>
        <v>1014571.9417311515</v>
      </c>
      <c r="J23" s="134">
        <f t="shared" si="7"/>
        <v>1106621.1772829809</v>
      </c>
      <c r="K23" s="134">
        <f t="shared" si="7"/>
        <v>1216469.5635589263</v>
      </c>
      <c r="L23" s="134">
        <f t="shared" si="7"/>
        <v>1344687.7558430638</v>
      </c>
      <c r="M23" s="340">
        <f t="shared" si="7"/>
        <v>1492590.7366115781</v>
      </c>
    </row>
    <row r="24" spans="1:15" s="11" customFormat="1">
      <c r="C24" s="14"/>
      <c r="D24" s="4"/>
      <c r="E24" s="38"/>
      <c r="F24" s="4"/>
      <c r="G24" s="4"/>
      <c r="H24" s="4"/>
      <c r="I24" s="4"/>
      <c r="J24" s="4"/>
      <c r="K24" s="4"/>
      <c r="L24" s="4"/>
      <c r="M24" s="4"/>
      <c r="N24" s="14"/>
      <c r="O24" s="14"/>
    </row>
    <row r="25" spans="1:15" s="11" customFormat="1">
      <c r="B25" s="4" t="s">
        <v>55</v>
      </c>
      <c r="C25" s="97"/>
      <c r="D25" s="97"/>
      <c r="E25" s="98"/>
      <c r="F25" s="4">
        <f>F8</f>
        <v>0</v>
      </c>
      <c r="G25" s="4">
        <f t="shared" ref="G25:M25" si="8">G8</f>
        <v>0</v>
      </c>
      <c r="H25" s="4">
        <f t="shared" si="8"/>
        <v>0</v>
      </c>
      <c r="I25" s="4">
        <f t="shared" si="8"/>
        <v>0</v>
      </c>
      <c r="J25" s="4">
        <f t="shared" si="8"/>
        <v>0</v>
      </c>
      <c r="K25" s="4">
        <f t="shared" si="8"/>
        <v>0</v>
      </c>
      <c r="L25" s="4">
        <f t="shared" si="8"/>
        <v>0</v>
      </c>
      <c r="M25" s="4">
        <f t="shared" si="8"/>
        <v>0</v>
      </c>
      <c r="N25" s="4"/>
      <c r="O25" s="4"/>
    </row>
    <row r="26" spans="1:15" s="11" customFormat="1">
      <c r="B26" s="4" t="s">
        <v>56</v>
      </c>
      <c r="C26" s="97">
        <f>12197-14238+1139-9</f>
        <v>-911</v>
      </c>
      <c r="D26" s="97">
        <f>20384-6256+1417</f>
        <v>15545</v>
      </c>
      <c r="E26" s="98">
        <f>19491-8087+1704</f>
        <v>13108</v>
      </c>
      <c r="F26" s="4">
        <f>F9</f>
        <v>0</v>
      </c>
      <c r="G26" s="4">
        <f t="shared" ref="G26:M26" si="9">G9</f>
        <v>0</v>
      </c>
      <c r="H26" s="4">
        <f t="shared" si="9"/>
        <v>0</v>
      </c>
      <c r="I26" s="4">
        <f t="shared" si="9"/>
        <v>0</v>
      </c>
      <c r="J26" s="4">
        <f t="shared" si="9"/>
        <v>0</v>
      </c>
      <c r="K26" s="4">
        <f t="shared" si="9"/>
        <v>0</v>
      </c>
      <c r="L26" s="4">
        <f t="shared" si="9"/>
        <v>0</v>
      </c>
      <c r="M26" s="4">
        <f t="shared" si="9"/>
        <v>0</v>
      </c>
      <c r="N26" s="4"/>
      <c r="O26" s="4"/>
    </row>
    <row r="27" spans="1:15" s="11" customFormat="1">
      <c r="B27" s="4"/>
      <c r="C27" s="10"/>
      <c r="D27" s="10"/>
      <c r="E27" s="2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s="11" customFormat="1">
      <c r="B28" s="4" t="s">
        <v>40</v>
      </c>
      <c r="C28" s="9">
        <v>66716</v>
      </c>
      <c r="D28" s="9">
        <v>67399</v>
      </c>
      <c r="E28" s="47">
        <v>99143</v>
      </c>
      <c r="F28" s="332">
        <f>IF(circ=1,Debt!F33,0)</f>
        <v>0</v>
      </c>
      <c r="G28" s="332">
        <f>IF(circ=1,Debt!G33,0)</f>
        <v>0</v>
      </c>
      <c r="H28" s="332">
        <f>IF(circ=1,Debt!H33,0)</f>
        <v>0</v>
      </c>
      <c r="I28" s="332">
        <f>IF(circ=1,Debt!I33,0)</f>
        <v>0</v>
      </c>
      <c r="J28" s="332">
        <f>IF(circ=1,Debt!J33,0)</f>
        <v>0</v>
      </c>
      <c r="K28" s="332">
        <f>IF(circ=1,Debt!K33,0)</f>
        <v>0</v>
      </c>
      <c r="L28" s="332">
        <f>IF(circ=1,Debt!L33,0)</f>
        <v>0</v>
      </c>
      <c r="M28" s="332">
        <f>IF(circ=1,Debt!M33,0)</f>
        <v>0</v>
      </c>
      <c r="N28" s="198"/>
      <c r="O28" s="198"/>
    </row>
    <row r="29" spans="1:15">
      <c r="B29" s="4" t="s">
        <v>32</v>
      </c>
      <c r="C29" s="9">
        <v>9888</v>
      </c>
      <c r="D29" s="9">
        <f>11101</f>
        <v>11101</v>
      </c>
      <c r="E29" s="47">
        <v>12834</v>
      </c>
      <c r="F29" s="332">
        <f>IF(circ=1,Debt!F22,0)</f>
        <v>0</v>
      </c>
      <c r="G29" s="332">
        <f>IF(circ=1,Debt!G22,0)</f>
        <v>0</v>
      </c>
      <c r="H29" s="332">
        <f>IF(circ=1,Debt!H22,0)</f>
        <v>0</v>
      </c>
      <c r="I29" s="332">
        <f>IF(circ=1,Debt!I22,0)</f>
        <v>0</v>
      </c>
      <c r="J29" s="332">
        <f>IF(circ=1,Debt!J22,0)</f>
        <v>0</v>
      </c>
      <c r="K29" s="332">
        <f>IF(circ=1,Debt!K22,0)</f>
        <v>0</v>
      </c>
      <c r="L29" s="332">
        <f>IF(circ=1,Debt!L22,0)</f>
        <v>0</v>
      </c>
      <c r="M29" s="332">
        <f>IF(circ=1,Debt!M22,0)</f>
        <v>0</v>
      </c>
      <c r="N29" s="198"/>
      <c r="O29" s="198"/>
    </row>
    <row r="30" spans="1:15">
      <c r="C30" s="10"/>
      <c r="D30" s="10"/>
      <c r="E30" s="24"/>
      <c r="H30" s="4"/>
    </row>
    <row r="31" spans="1:15" s="11" customFormat="1">
      <c r="A31" s="11" t="s">
        <v>125</v>
      </c>
      <c r="B31" s="18" t="s">
        <v>85</v>
      </c>
      <c r="C31" s="19">
        <f t="shared" ref="C31:D31" si="10">C19+SUM(C25:C28)-C29</f>
        <v>437918</v>
      </c>
      <c r="D31" s="19">
        <f t="shared" si="10"/>
        <v>557202</v>
      </c>
      <c r="E31" s="19">
        <f>E19+SUM(E25:E28)-E29</f>
        <v>650574</v>
      </c>
      <c r="F31" s="19">
        <f t="shared" ref="F31:M31" si="11">F19+SUM(F25:F28)-F29</f>
        <v>607609.41567712463</v>
      </c>
      <c r="G31" s="19">
        <f t="shared" si="11"/>
        <v>670883.55889994977</v>
      </c>
      <c r="H31" s="19">
        <f t="shared" si="11"/>
        <v>741917.98263385426</v>
      </c>
      <c r="I31" s="19">
        <f t="shared" si="11"/>
        <v>821794.41015431751</v>
      </c>
      <c r="J31" s="19">
        <f t="shared" si="11"/>
        <v>911761.45754573308</v>
      </c>
      <c r="K31" s="19">
        <f t="shared" si="11"/>
        <v>1013262.5444709165</v>
      </c>
      <c r="L31" s="19">
        <f t="shared" si="11"/>
        <v>1127968.7670697505</v>
      </c>
      <c r="M31" s="20">
        <f t="shared" si="11"/>
        <v>1257817.6542571755</v>
      </c>
    </row>
    <row r="32" spans="1:15">
      <c r="E32" s="39"/>
      <c r="H32" s="4"/>
    </row>
    <row r="33" spans="1:15">
      <c r="B33" s="4" t="s">
        <v>57</v>
      </c>
      <c r="C33" s="136">
        <v>122746</v>
      </c>
      <c r="D33" s="4">
        <v>163596</v>
      </c>
      <c r="E33" s="61">
        <v>191421</v>
      </c>
      <c r="F33" s="4">
        <f>F31*F10</f>
        <v>178779.35785680162</v>
      </c>
      <c r="G33" s="4">
        <f t="shared" ref="G33:M33" si="12">G31*G10</f>
        <v>197396.76305568204</v>
      </c>
      <c r="H33" s="4">
        <f t="shared" si="12"/>
        <v>218297.50674597357</v>
      </c>
      <c r="I33" s="4">
        <f t="shared" si="12"/>
        <v>241799.86871001546</v>
      </c>
      <c r="J33" s="4">
        <f t="shared" si="12"/>
        <v>268271.23427136923</v>
      </c>
      <c r="K33" s="4">
        <f t="shared" si="12"/>
        <v>298136.30659258948</v>
      </c>
      <c r="L33" s="4">
        <f t="shared" si="12"/>
        <v>331886.77900017321</v>
      </c>
      <c r="M33" s="4">
        <f t="shared" si="12"/>
        <v>370092.73840571987</v>
      </c>
    </row>
    <row r="34" spans="1:15" s="11" customFormat="1">
      <c r="A34" s="11" t="s">
        <v>125</v>
      </c>
      <c r="B34" s="18" t="s">
        <v>58</v>
      </c>
      <c r="C34" s="19">
        <f>C31-C33</f>
        <v>315172</v>
      </c>
      <c r="D34" s="19">
        <f t="shared" ref="D34:F34" si="13">D31-D33</f>
        <v>393606</v>
      </c>
      <c r="E34" s="19">
        <f t="shared" si="13"/>
        <v>459153</v>
      </c>
      <c r="F34" s="19">
        <f t="shared" si="13"/>
        <v>428830.05782032304</v>
      </c>
      <c r="G34" s="19">
        <f t="shared" ref="G34:M34" si="14">G31-G33</f>
        <v>473486.7958442677</v>
      </c>
      <c r="H34" s="19">
        <f t="shared" si="14"/>
        <v>523620.47588788066</v>
      </c>
      <c r="I34" s="19">
        <f t="shared" si="14"/>
        <v>579994.54144430207</v>
      </c>
      <c r="J34" s="19">
        <f t="shared" si="14"/>
        <v>643490.2232743639</v>
      </c>
      <c r="K34" s="19">
        <f t="shared" si="14"/>
        <v>715126.23787832703</v>
      </c>
      <c r="L34" s="19">
        <f t="shared" si="14"/>
        <v>796081.98806957726</v>
      </c>
      <c r="M34" s="20">
        <f t="shared" si="14"/>
        <v>887724.91585145565</v>
      </c>
    </row>
    <row r="35" spans="1:15">
      <c r="B35" s="4" t="s">
        <v>182</v>
      </c>
      <c r="C35" s="10">
        <v>290</v>
      </c>
      <c r="D35" s="10">
        <v>400</v>
      </c>
      <c r="E35" s="303">
        <v>500</v>
      </c>
      <c r="F35" s="309">
        <f>F11</f>
        <v>550</v>
      </c>
      <c r="G35" s="309">
        <f t="shared" ref="G35:M35" si="15">G11</f>
        <v>600</v>
      </c>
      <c r="H35" s="309">
        <f t="shared" si="15"/>
        <v>650</v>
      </c>
      <c r="I35" s="309">
        <f t="shared" si="15"/>
        <v>700</v>
      </c>
      <c r="J35" s="309">
        <f t="shared" si="15"/>
        <v>750</v>
      </c>
      <c r="K35" s="309">
        <f t="shared" si="15"/>
        <v>800</v>
      </c>
      <c r="L35" s="309">
        <f t="shared" si="15"/>
        <v>850</v>
      </c>
      <c r="M35" s="309">
        <f t="shared" si="15"/>
        <v>900</v>
      </c>
    </row>
    <row r="36" spans="1:15">
      <c r="B36" s="4" t="s">
        <v>59</v>
      </c>
      <c r="C36" s="127">
        <f t="shared" ref="C36:D36" si="16">C35*C39</f>
        <v>92272.438960000014</v>
      </c>
      <c r="D36" s="127">
        <f t="shared" si="16"/>
        <v>127275.51640000002</v>
      </c>
      <c r="E36" s="24">
        <f>E35*E39</f>
        <v>159110.6955</v>
      </c>
      <c r="F36" s="4">
        <f>F35*F39</f>
        <v>175021.76504999999</v>
      </c>
      <c r="G36" s="4">
        <f t="shared" ref="G36:M36" si="17">G35*G39</f>
        <v>190932.8346</v>
      </c>
      <c r="H36" s="4">
        <f t="shared" si="17"/>
        <v>206843.90414999999</v>
      </c>
      <c r="I36" s="4">
        <f t="shared" si="17"/>
        <v>222754.9737</v>
      </c>
      <c r="J36" s="4">
        <f t="shared" si="17"/>
        <v>238666.04324999999</v>
      </c>
      <c r="K36" s="4">
        <f t="shared" si="17"/>
        <v>254577.11279999997</v>
      </c>
      <c r="L36" s="4">
        <f t="shared" si="17"/>
        <v>270488.18234999996</v>
      </c>
      <c r="M36" s="4">
        <f t="shared" si="17"/>
        <v>286399.25189999997</v>
      </c>
    </row>
    <row r="37" spans="1:15">
      <c r="A37" s="22" t="s">
        <v>60</v>
      </c>
      <c r="B37" s="21"/>
      <c r="C37" s="57">
        <v>45291</v>
      </c>
      <c r="D37" s="57">
        <v>45656</v>
      </c>
      <c r="E37" s="57">
        <v>46021</v>
      </c>
      <c r="F37" s="57">
        <v>46386</v>
      </c>
      <c r="G37" s="57">
        <v>46386</v>
      </c>
      <c r="H37" s="57">
        <v>46386</v>
      </c>
      <c r="I37" s="57">
        <v>46386</v>
      </c>
      <c r="J37" s="57">
        <v>46386</v>
      </c>
      <c r="K37" s="57">
        <v>46386</v>
      </c>
      <c r="L37" s="57">
        <v>46386</v>
      </c>
      <c r="M37" s="57">
        <v>46386</v>
      </c>
      <c r="N37" s="222"/>
      <c r="O37" s="222"/>
    </row>
    <row r="38" spans="1:15">
      <c r="B38" s="4" t="s">
        <v>48</v>
      </c>
      <c r="C38" s="10">
        <v>306.62812400000001</v>
      </c>
      <c r="D38" s="10">
        <v>306.70701000000003</v>
      </c>
      <c r="E38" s="24">
        <v>306.81960199999997</v>
      </c>
      <c r="F38" s="191">
        <f>F12</f>
        <v>306.81960199999997</v>
      </c>
      <c r="G38" s="191">
        <f t="shared" ref="G38:M38" si="18">G12</f>
        <v>306.81960199999997</v>
      </c>
      <c r="H38" s="191">
        <f t="shared" si="18"/>
        <v>306.81960199999997</v>
      </c>
      <c r="I38" s="191">
        <f t="shared" si="18"/>
        <v>306.81960199999997</v>
      </c>
      <c r="J38" s="191">
        <f t="shared" si="18"/>
        <v>306.81960199999997</v>
      </c>
      <c r="K38" s="191">
        <f t="shared" si="18"/>
        <v>306.81960199999997</v>
      </c>
      <c r="L38" s="191">
        <f t="shared" si="18"/>
        <v>306.81960199999997</v>
      </c>
      <c r="M38" s="191">
        <f t="shared" si="18"/>
        <v>306.81960199999997</v>
      </c>
      <c r="N38" s="227"/>
      <c r="O38" s="227"/>
    </row>
    <row r="39" spans="1:15">
      <c r="B39" s="4" t="s">
        <v>49</v>
      </c>
      <c r="C39" s="10">
        <f>C38+11.5527</f>
        <v>318.18082400000003</v>
      </c>
      <c r="D39" s="10">
        <f>D38+11.481781</f>
        <v>318.18879100000004</v>
      </c>
      <c r="E39" s="24">
        <f>E38+11.401789</f>
        <v>318.22139099999998</v>
      </c>
      <c r="F39" s="191">
        <f>F13</f>
        <v>318.22139099999998</v>
      </c>
      <c r="G39" s="191">
        <f t="shared" ref="G39:M39" si="19">G13</f>
        <v>318.22139099999998</v>
      </c>
      <c r="H39" s="191">
        <f t="shared" si="19"/>
        <v>318.22139099999998</v>
      </c>
      <c r="I39" s="191">
        <f t="shared" si="19"/>
        <v>318.22139099999998</v>
      </c>
      <c r="J39" s="191">
        <f t="shared" si="19"/>
        <v>318.22139099999998</v>
      </c>
      <c r="K39" s="191">
        <f t="shared" si="19"/>
        <v>318.22139099999998</v>
      </c>
      <c r="L39" s="191">
        <f t="shared" si="19"/>
        <v>318.22139099999998</v>
      </c>
      <c r="M39" s="191">
        <f t="shared" si="19"/>
        <v>318.22139099999998</v>
      </c>
      <c r="N39" s="227"/>
      <c r="O39" s="227"/>
    </row>
    <row r="40" spans="1:15">
      <c r="B40" s="4" t="s">
        <v>61</v>
      </c>
      <c r="C40" s="197">
        <f>$C$34/C38</f>
        <v>1027.8639672334818</v>
      </c>
      <c r="D40" s="197">
        <f>$D$34/D38</f>
        <v>1283.3289985775023</v>
      </c>
      <c r="E40" s="337">
        <f>$E$34/E38</f>
        <v>1496.4917397943825</v>
      </c>
      <c r="F40" s="336">
        <f>$F$34/F38</f>
        <v>1397.6618671851452</v>
      </c>
      <c r="G40" s="336">
        <f t="shared" ref="G40:M40" si="20">$F$34/G38</f>
        <v>1397.6618671851452</v>
      </c>
      <c r="H40" s="336">
        <f t="shared" si="20"/>
        <v>1397.6618671851452</v>
      </c>
      <c r="I40" s="336">
        <f t="shared" si="20"/>
        <v>1397.6618671851452</v>
      </c>
      <c r="J40" s="336">
        <f t="shared" si="20"/>
        <v>1397.6618671851452</v>
      </c>
      <c r="K40" s="336">
        <f t="shared" si="20"/>
        <v>1397.6618671851452</v>
      </c>
      <c r="L40" s="336">
        <f t="shared" si="20"/>
        <v>1397.6618671851452</v>
      </c>
      <c r="M40" s="336">
        <f t="shared" si="20"/>
        <v>1397.6618671851452</v>
      </c>
      <c r="N40" s="227"/>
      <c r="O40" s="227"/>
    </row>
    <row r="41" spans="1:15" s="11" customFormat="1">
      <c r="A41" s="11" t="s">
        <v>125</v>
      </c>
      <c r="B41" s="18" t="s">
        <v>62</v>
      </c>
      <c r="C41" s="304">
        <f>$C$34/C39</f>
        <v>990.54366645301025</v>
      </c>
      <c r="D41" s="305">
        <f>$D$34/D39</f>
        <v>1237.0203198012716</v>
      </c>
      <c r="E41" s="304">
        <f>$E$34/E39</f>
        <v>1442.8728331465311</v>
      </c>
      <c r="F41" s="305">
        <f>$F$34/F39</f>
        <v>1347.5840089591056</v>
      </c>
      <c r="G41" s="305">
        <f t="shared" ref="G41:M41" si="21">$F$34/G39</f>
        <v>1347.5840089591056</v>
      </c>
      <c r="H41" s="305">
        <f t="shared" si="21"/>
        <v>1347.5840089591056</v>
      </c>
      <c r="I41" s="305">
        <f t="shared" si="21"/>
        <v>1347.5840089591056</v>
      </c>
      <c r="J41" s="305">
        <f t="shared" si="21"/>
        <v>1347.5840089591056</v>
      </c>
      <c r="K41" s="305">
        <f t="shared" si="21"/>
        <v>1347.5840089591056</v>
      </c>
      <c r="L41" s="305">
        <f t="shared" si="21"/>
        <v>1347.5840089591056</v>
      </c>
      <c r="M41" s="341">
        <f t="shared" si="21"/>
        <v>1347.5840089591056</v>
      </c>
      <c r="N41" s="232"/>
      <c r="O41" s="232"/>
    </row>
    <row r="42" spans="1:15">
      <c r="C42" s="40"/>
      <c r="D42" s="40"/>
      <c r="E42" s="40"/>
      <c r="F42" s="40"/>
      <c r="G42" s="15"/>
      <c r="H42" s="15"/>
      <c r="I42" s="15"/>
      <c r="J42" s="15"/>
    </row>
    <row r="43" spans="1:15">
      <c r="D43" s="15"/>
      <c r="E43" s="15"/>
      <c r="F43" s="15"/>
    </row>
  </sheetData>
  <conditionalFormatting sqref="F4:O13">
    <cfRule type="expression" dxfId="1" priority="34">
      <formula>$E$12&gt;1</formula>
    </cfRule>
  </conditionalFormatting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&amp;L&amp;8&amp;F &amp;A</oddHeader>
    <oddFooter>&amp;R&amp;8&amp;P of &amp;N&amp;L&amp;8© AMT Training 2008 - 2017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0">
    <pageSetUpPr autoPageBreaks="0" fitToPage="1"/>
  </sheetPr>
  <dimension ref="A1:O57"/>
  <sheetViews>
    <sheetView showGridLines="0" topLeftCell="B1" zoomScaleNormal="100" workbookViewId="0">
      <selection activeCell="G4" sqref="G4"/>
    </sheetView>
  </sheetViews>
  <sheetFormatPr defaultColWidth="8.85546875" defaultRowHeight="15"/>
  <cols>
    <col min="1" max="1" width="1.7109375" style="4" customWidth="1"/>
    <col min="2" max="2" width="42.85546875" style="4" customWidth="1"/>
    <col min="3" max="8" width="12.28515625" style="4" customWidth="1"/>
    <col min="9" max="10" width="12.28515625" style="6" customWidth="1"/>
    <col min="11" max="13" width="12.28515625" style="4" customWidth="1"/>
    <col min="14" max="256" width="8.85546875" style="4"/>
    <col min="257" max="257" width="1.7109375" style="4" customWidth="1"/>
    <col min="258" max="258" width="42.85546875" style="4" customWidth="1"/>
    <col min="259" max="264" width="10.7109375" style="4" customWidth="1"/>
    <col min="265" max="266" width="9.42578125" style="4" bestFit="1" customWidth="1"/>
    <col min="267" max="512" width="8.85546875" style="4"/>
    <col min="513" max="513" width="1.7109375" style="4" customWidth="1"/>
    <col min="514" max="514" width="42.85546875" style="4" customWidth="1"/>
    <col min="515" max="520" width="10.7109375" style="4" customWidth="1"/>
    <col min="521" max="522" width="9.42578125" style="4" bestFit="1" customWidth="1"/>
    <col min="523" max="768" width="8.85546875" style="4"/>
    <col min="769" max="769" width="1.7109375" style="4" customWidth="1"/>
    <col min="770" max="770" width="42.85546875" style="4" customWidth="1"/>
    <col min="771" max="776" width="10.7109375" style="4" customWidth="1"/>
    <col min="777" max="778" width="9.42578125" style="4" bestFit="1" customWidth="1"/>
    <col min="779" max="1024" width="8.85546875" style="4"/>
    <col min="1025" max="1025" width="1.7109375" style="4" customWidth="1"/>
    <col min="1026" max="1026" width="42.85546875" style="4" customWidth="1"/>
    <col min="1027" max="1032" width="10.7109375" style="4" customWidth="1"/>
    <col min="1033" max="1034" width="9.42578125" style="4" bestFit="1" customWidth="1"/>
    <col min="1035" max="1280" width="8.85546875" style="4"/>
    <col min="1281" max="1281" width="1.7109375" style="4" customWidth="1"/>
    <col min="1282" max="1282" width="42.85546875" style="4" customWidth="1"/>
    <col min="1283" max="1288" width="10.7109375" style="4" customWidth="1"/>
    <col min="1289" max="1290" width="9.42578125" style="4" bestFit="1" customWidth="1"/>
    <col min="1291" max="1536" width="8.85546875" style="4"/>
    <col min="1537" max="1537" width="1.7109375" style="4" customWidth="1"/>
    <col min="1538" max="1538" width="42.85546875" style="4" customWidth="1"/>
    <col min="1539" max="1544" width="10.7109375" style="4" customWidth="1"/>
    <col min="1545" max="1546" width="9.42578125" style="4" bestFit="1" customWidth="1"/>
    <col min="1547" max="1792" width="8.85546875" style="4"/>
    <col min="1793" max="1793" width="1.7109375" style="4" customWidth="1"/>
    <col min="1794" max="1794" width="42.85546875" style="4" customWidth="1"/>
    <col min="1795" max="1800" width="10.7109375" style="4" customWidth="1"/>
    <col min="1801" max="1802" width="9.42578125" style="4" bestFit="1" customWidth="1"/>
    <col min="1803" max="2048" width="8.85546875" style="4"/>
    <col min="2049" max="2049" width="1.7109375" style="4" customWidth="1"/>
    <col min="2050" max="2050" width="42.85546875" style="4" customWidth="1"/>
    <col min="2051" max="2056" width="10.7109375" style="4" customWidth="1"/>
    <col min="2057" max="2058" width="9.42578125" style="4" bestFit="1" customWidth="1"/>
    <col min="2059" max="2304" width="8.85546875" style="4"/>
    <col min="2305" max="2305" width="1.7109375" style="4" customWidth="1"/>
    <col min="2306" max="2306" width="42.85546875" style="4" customWidth="1"/>
    <col min="2307" max="2312" width="10.7109375" style="4" customWidth="1"/>
    <col min="2313" max="2314" width="9.42578125" style="4" bestFit="1" customWidth="1"/>
    <col min="2315" max="2560" width="8.85546875" style="4"/>
    <col min="2561" max="2561" width="1.7109375" style="4" customWidth="1"/>
    <col min="2562" max="2562" width="42.85546875" style="4" customWidth="1"/>
    <col min="2563" max="2568" width="10.7109375" style="4" customWidth="1"/>
    <col min="2569" max="2570" width="9.42578125" style="4" bestFit="1" customWidth="1"/>
    <col min="2571" max="2816" width="8.85546875" style="4"/>
    <col min="2817" max="2817" width="1.7109375" style="4" customWidth="1"/>
    <col min="2818" max="2818" width="42.85546875" style="4" customWidth="1"/>
    <col min="2819" max="2824" width="10.7109375" style="4" customWidth="1"/>
    <col min="2825" max="2826" width="9.42578125" style="4" bestFit="1" customWidth="1"/>
    <col min="2827" max="3072" width="8.85546875" style="4"/>
    <col min="3073" max="3073" width="1.7109375" style="4" customWidth="1"/>
    <col min="3074" max="3074" width="42.85546875" style="4" customWidth="1"/>
    <col min="3075" max="3080" width="10.7109375" style="4" customWidth="1"/>
    <col min="3081" max="3082" width="9.42578125" style="4" bestFit="1" customWidth="1"/>
    <col min="3083" max="3328" width="8.85546875" style="4"/>
    <col min="3329" max="3329" width="1.7109375" style="4" customWidth="1"/>
    <col min="3330" max="3330" width="42.85546875" style="4" customWidth="1"/>
    <col min="3331" max="3336" width="10.7109375" style="4" customWidth="1"/>
    <col min="3337" max="3338" width="9.42578125" style="4" bestFit="1" customWidth="1"/>
    <col min="3339" max="3584" width="8.85546875" style="4"/>
    <col min="3585" max="3585" width="1.7109375" style="4" customWidth="1"/>
    <col min="3586" max="3586" width="42.85546875" style="4" customWidth="1"/>
    <col min="3587" max="3592" width="10.7109375" style="4" customWidth="1"/>
    <col min="3593" max="3594" width="9.42578125" style="4" bestFit="1" customWidth="1"/>
    <col min="3595" max="3840" width="8.85546875" style="4"/>
    <col min="3841" max="3841" width="1.7109375" style="4" customWidth="1"/>
    <col min="3842" max="3842" width="42.85546875" style="4" customWidth="1"/>
    <col min="3843" max="3848" width="10.7109375" style="4" customWidth="1"/>
    <col min="3849" max="3850" width="9.42578125" style="4" bestFit="1" customWidth="1"/>
    <col min="3851" max="4096" width="8.85546875" style="4"/>
    <col min="4097" max="4097" width="1.7109375" style="4" customWidth="1"/>
    <col min="4098" max="4098" width="42.85546875" style="4" customWidth="1"/>
    <col min="4099" max="4104" width="10.7109375" style="4" customWidth="1"/>
    <col min="4105" max="4106" width="9.42578125" style="4" bestFit="1" customWidth="1"/>
    <col min="4107" max="4352" width="8.85546875" style="4"/>
    <col min="4353" max="4353" width="1.7109375" style="4" customWidth="1"/>
    <col min="4354" max="4354" width="42.85546875" style="4" customWidth="1"/>
    <col min="4355" max="4360" width="10.7109375" style="4" customWidth="1"/>
    <col min="4361" max="4362" width="9.42578125" style="4" bestFit="1" customWidth="1"/>
    <col min="4363" max="4608" width="8.85546875" style="4"/>
    <col min="4609" max="4609" width="1.7109375" style="4" customWidth="1"/>
    <col min="4610" max="4610" width="42.85546875" style="4" customWidth="1"/>
    <col min="4611" max="4616" width="10.7109375" style="4" customWidth="1"/>
    <col min="4617" max="4618" width="9.42578125" style="4" bestFit="1" customWidth="1"/>
    <col min="4619" max="4864" width="8.85546875" style="4"/>
    <col min="4865" max="4865" width="1.7109375" style="4" customWidth="1"/>
    <col min="4866" max="4866" width="42.85546875" style="4" customWidth="1"/>
    <col min="4867" max="4872" width="10.7109375" style="4" customWidth="1"/>
    <col min="4873" max="4874" width="9.42578125" style="4" bestFit="1" customWidth="1"/>
    <col min="4875" max="5120" width="8.85546875" style="4"/>
    <col min="5121" max="5121" width="1.7109375" style="4" customWidth="1"/>
    <col min="5122" max="5122" width="42.85546875" style="4" customWidth="1"/>
    <col min="5123" max="5128" width="10.7109375" style="4" customWidth="1"/>
    <col min="5129" max="5130" width="9.42578125" style="4" bestFit="1" customWidth="1"/>
    <col min="5131" max="5376" width="8.85546875" style="4"/>
    <col min="5377" max="5377" width="1.7109375" style="4" customWidth="1"/>
    <col min="5378" max="5378" width="42.85546875" style="4" customWidth="1"/>
    <col min="5379" max="5384" width="10.7109375" style="4" customWidth="1"/>
    <col min="5385" max="5386" width="9.42578125" style="4" bestFit="1" customWidth="1"/>
    <col min="5387" max="5632" width="8.85546875" style="4"/>
    <col min="5633" max="5633" width="1.7109375" style="4" customWidth="1"/>
    <col min="5634" max="5634" width="42.85546875" style="4" customWidth="1"/>
    <col min="5635" max="5640" width="10.7109375" style="4" customWidth="1"/>
    <col min="5641" max="5642" width="9.42578125" style="4" bestFit="1" customWidth="1"/>
    <col min="5643" max="5888" width="8.85546875" style="4"/>
    <col min="5889" max="5889" width="1.7109375" style="4" customWidth="1"/>
    <col min="5890" max="5890" width="42.85546875" style="4" customWidth="1"/>
    <col min="5891" max="5896" width="10.7109375" style="4" customWidth="1"/>
    <col min="5897" max="5898" width="9.42578125" style="4" bestFit="1" customWidth="1"/>
    <col min="5899" max="6144" width="8.85546875" style="4"/>
    <col min="6145" max="6145" width="1.7109375" style="4" customWidth="1"/>
    <col min="6146" max="6146" width="42.85546875" style="4" customWidth="1"/>
    <col min="6147" max="6152" width="10.7109375" style="4" customWidth="1"/>
    <col min="6153" max="6154" width="9.42578125" style="4" bestFit="1" customWidth="1"/>
    <col min="6155" max="6400" width="8.85546875" style="4"/>
    <col min="6401" max="6401" width="1.7109375" style="4" customWidth="1"/>
    <col min="6402" max="6402" width="42.85546875" style="4" customWidth="1"/>
    <col min="6403" max="6408" width="10.7109375" style="4" customWidth="1"/>
    <col min="6409" max="6410" width="9.42578125" style="4" bestFit="1" customWidth="1"/>
    <col min="6411" max="6656" width="8.85546875" style="4"/>
    <col min="6657" max="6657" width="1.7109375" style="4" customWidth="1"/>
    <col min="6658" max="6658" width="42.85546875" style="4" customWidth="1"/>
    <col min="6659" max="6664" width="10.7109375" style="4" customWidth="1"/>
    <col min="6665" max="6666" width="9.42578125" style="4" bestFit="1" customWidth="1"/>
    <col min="6667" max="6912" width="8.85546875" style="4"/>
    <col min="6913" max="6913" width="1.7109375" style="4" customWidth="1"/>
    <col min="6914" max="6914" width="42.85546875" style="4" customWidth="1"/>
    <col min="6915" max="6920" width="10.7109375" style="4" customWidth="1"/>
    <col min="6921" max="6922" width="9.42578125" style="4" bestFit="1" customWidth="1"/>
    <col min="6923" max="7168" width="8.85546875" style="4"/>
    <col min="7169" max="7169" width="1.7109375" style="4" customWidth="1"/>
    <col min="7170" max="7170" width="42.85546875" style="4" customWidth="1"/>
    <col min="7171" max="7176" width="10.7109375" style="4" customWidth="1"/>
    <col min="7177" max="7178" width="9.42578125" style="4" bestFit="1" customWidth="1"/>
    <col min="7179" max="7424" width="8.85546875" style="4"/>
    <col min="7425" max="7425" width="1.7109375" style="4" customWidth="1"/>
    <col min="7426" max="7426" width="42.85546875" style="4" customWidth="1"/>
    <col min="7427" max="7432" width="10.7109375" style="4" customWidth="1"/>
    <col min="7433" max="7434" width="9.42578125" style="4" bestFit="1" customWidth="1"/>
    <col min="7435" max="7680" width="8.85546875" style="4"/>
    <col min="7681" max="7681" width="1.7109375" style="4" customWidth="1"/>
    <col min="7682" max="7682" width="42.85546875" style="4" customWidth="1"/>
    <col min="7683" max="7688" width="10.7109375" style="4" customWidth="1"/>
    <col min="7689" max="7690" width="9.42578125" style="4" bestFit="1" customWidth="1"/>
    <col min="7691" max="7936" width="8.85546875" style="4"/>
    <col min="7937" max="7937" width="1.7109375" style="4" customWidth="1"/>
    <col min="7938" max="7938" width="42.85546875" style="4" customWidth="1"/>
    <col min="7939" max="7944" width="10.7109375" style="4" customWidth="1"/>
    <col min="7945" max="7946" width="9.42578125" style="4" bestFit="1" customWidth="1"/>
    <col min="7947" max="8192" width="8.85546875" style="4"/>
    <col min="8193" max="8193" width="1.7109375" style="4" customWidth="1"/>
    <col min="8194" max="8194" width="42.85546875" style="4" customWidth="1"/>
    <col min="8195" max="8200" width="10.7109375" style="4" customWidth="1"/>
    <col min="8201" max="8202" width="9.42578125" style="4" bestFit="1" customWidth="1"/>
    <col min="8203" max="8448" width="8.85546875" style="4"/>
    <col min="8449" max="8449" width="1.7109375" style="4" customWidth="1"/>
    <col min="8450" max="8450" width="42.85546875" style="4" customWidth="1"/>
    <col min="8451" max="8456" width="10.7109375" style="4" customWidth="1"/>
    <col min="8457" max="8458" width="9.42578125" style="4" bestFit="1" customWidth="1"/>
    <col min="8459" max="8704" width="8.85546875" style="4"/>
    <col min="8705" max="8705" width="1.7109375" style="4" customWidth="1"/>
    <col min="8706" max="8706" width="42.85546875" style="4" customWidth="1"/>
    <col min="8707" max="8712" width="10.7109375" style="4" customWidth="1"/>
    <col min="8713" max="8714" width="9.42578125" style="4" bestFit="1" customWidth="1"/>
    <col min="8715" max="8960" width="8.85546875" style="4"/>
    <col min="8961" max="8961" width="1.7109375" style="4" customWidth="1"/>
    <col min="8962" max="8962" width="42.85546875" style="4" customWidth="1"/>
    <col min="8963" max="8968" width="10.7109375" style="4" customWidth="1"/>
    <col min="8969" max="8970" width="9.42578125" style="4" bestFit="1" customWidth="1"/>
    <col min="8971" max="9216" width="8.85546875" style="4"/>
    <col min="9217" max="9217" width="1.7109375" style="4" customWidth="1"/>
    <col min="9218" max="9218" width="42.85546875" style="4" customWidth="1"/>
    <col min="9219" max="9224" width="10.7109375" style="4" customWidth="1"/>
    <col min="9225" max="9226" width="9.42578125" style="4" bestFit="1" customWidth="1"/>
    <col min="9227" max="9472" width="8.85546875" style="4"/>
    <col min="9473" max="9473" width="1.7109375" style="4" customWidth="1"/>
    <col min="9474" max="9474" width="42.85546875" style="4" customWidth="1"/>
    <col min="9475" max="9480" width="10.7109375" style="4" customWidth="1"/>
    <col min="9481" max="9482" width="9.42578125" style="4" bestFit="1" customWidth="1"/>
    <col min="9483" max="9728" width="8.85546875" style="4"/>
    <col min="9729" max="9729" width="1.7109375" style="4" customWidth="1"/>
    <col min="9730" max="9730" width="42.85546875" style="4" customWidth="1"/>
    <col min="9731" max="9736" width="10.7109375" style="4" customWidth="1"/>
    <col min="9737" max="9738" width="9.42578125" style="4" bestFit="1" customWidth="1"/>
    <col min="9739" max="9984" width="8.85546875" style="4"/>
    <col min="9985" max="9985" width="1.7109375" style="4" customWidth="1"/>
    <col min="9986" max="9986" width="42.85546875" style="4" customWidth="1"/>
    <col min="9987" max="9992" width="10.7109375" style="4" customWidth="1"/>
    <col min="9993" max="9994" width="9.42578125" style="4" bestFit="1" customWidth="1"/>
    <col min="9995" max="10240" width="8.85546875" style="4"/>
    <col min="10241" max="10241" width="1.7109375" style="4" customWidth="1"/>
    <col min="10242" max="10242" width="42.85546875" style="4" customWidth="1"/>
    <col min="10243" max="10248" width="10.7109375" style="4" customWidth="1"/>
    <col min="10249" max="10250" width="9.42578125" style="4" bestFit="1" customWidth="1"/>
    <col min="10251" max="10496" width="8.85546875" style="4"/>
    <col min="10497" max="10497" width="1.7109375" style="4" customWidth="1"/>
    <col min="10498" max="10498" width="42.85546875" style="4" customWidth="1"/>
    <col min="10499" max="10504" width="10.7109375" style="4" customWidth="1"/>
    <col min="10505" max="10506" width="9.42578125" style="4" bestFit="1" customWidth="1"/>
    <col min="10507" max="10752" width="8.85546875" style="4"/>
    <col min="10753" max="10753" width="1.7109375" style="4" customWidth="1"/>
    <col min="10754" max="10754" width="42.85546875" style="4" customWidth="1"/>
    <col min="10755" max="10760" width="10.7109375" style="4" customWidth="1"/>
    <col min="10761" max="10762" width="9.42578125" style="4" bestFit="1" customWidth="1"/>
    <col min="10763" max="11008" width="8.85546875" style="4"/>
    <col min="11009" max="11009" width="1.7109375" style="4" customWidth="1"/>
    <col min="11010" max="11010" width="42.85546875" style="4" customWidth="1"/>
    <col min="11011" max="11016" width="10.7109375" style="4" customWidth="1"/>
    <col min="11017" max="11018" width="9.42578125" style="4" bestFit="1" customWidth="1"/>
    <col min="11019" max="11264" width="8.85546875" style="4"/>
    <col min="11265" max="11265" width="1.7109375" style="4" customWidth="1"/>
    <col min="11266" max="11266" width="42.85546875" style="4" customWidth="1"/>
    <col min="11267" max="11272" width="10.7109375" style="4" customWidth="1"/>
    <col min="11273" max="11274" width="9.42578125" style="4" bestFit="1" customWidth="1"/>
    <col min="11275" max="11520" width="8.85546875" style="4"/>
    <col min="11521" max="11521" width="1.7109375" style="4" customWidth="1"/>
    <col min="11522" max="11522" width="42.85546875" style="4" customWidth="1"/>
    <col min="11523" max="11528" width="10.7109375" style="4" customWidth="1"/>
    <col min="11529" max="11530" width="9.42578125" style="4" bestFit="1" customWidth="1"/>
    <col min="11531" max="11776" width="8.85546875" style="4"/>
    <col min="11777" max="11777" width="1.7109375" style="4" customWidth="1"/>
    <col min="11778" max="11778" width="42.85546875" style="4" customWidth="1"/>
    <col min="11779" max="11784" width="10.7109375" style="4" customWidth="1"/>
    <col min="11785" max="11786" width="9.42578125" style="4" bestFit="1" customWidth="1"/>
    <col min="11787" max="12032" width="8.85546875" style="4"/>
    <col min="12033" max="12033" width="1.7109375" style="4" customWidth="1"/>
    <col min="12034" max="12034" width="42.85546875" style="4" customWidth="1"/>
    <col min="12035" max="12040" width="10.7109375" style="4" customWidth="1"/>
    <col min="12041" max="12042" width="9.42578125" style="4" bestFit="1" customWidth="1"/>
    <col min="12043" max="12288" width="8.85546875" style="4"/>
    <col min="12289" max="12289" width="1.7109375" style="4" customWidth="1"/>
    <col min="12290" max="12290" width="42.85546875" style="4" customWidth="1"/>
    <col min="12291" max="12296" width="10.7109375" style="4" customWidth="1"/>
    <col min="12297" max="12298" width="9.42578125" style="4" bestFit="1" customWidth="1"/>
    <col min="12299" max="12544" width="8.85546875" style="4"/>
    <col min="12545" max="12545" width="1.7109375" style="4" customWidth="1"/>
    <col min="12546" max="12546" width="42.85546875" style="4" customWidth="1"/>
    <col min="12547" max="12552" width="10.7109375" style="4" customWidth="1"/>
    <col min="12553" max="12554" width="9.42578125" style="4" bestFit="1" customWidth="1"/>
    <col min="12555" max="12800" width="8.85546875" style="4"/>
    <col min="12801" max="12801" width="1.7109375" style="4" customWidth="1"/>
    <col min="12802" max="12802" width="42.85546875" style="4" customWidth="1"/>
    <col min="12803" max="12808" width="10.7109375" style="4" customWidth="1"/>
    <col min="12809" max="12810" width="9.42578125" style="4" bestFit="1" customWidth="1"/>
    <col min="12811" max="13056" width="8.85546875" style="4"/>
    <col min="13057" max="13057" width="1.7109375" style="4" customWidth="1"/>
    <col min="13058" max="13058" width="42.85546875" style="4" customWidth="1"/>
    <col min="13059" max="13064" width="10.7109375" style="4" customWidth="1"/>
    <col min="13065" max="13066" width="9.42578125" style="4" bestFit="1" customWidth="1"/>
    <col min="13067" max="13312" width="8.85546875" style="4"/>
    <col min="13313" max="13313" width="1.7109375" style="4" customWidth="1"/>
    <col min="13314" max="13314" width="42.85546875" style="4" customWidth="1"/>
    <col min="13315" max="13320" width="10.7109375" style="4" customWidth="1"/>
    <col min="13321" max="13322" width="9.42578125" style="4" bestFit="1" customWidth="1"/>
    <col min="13323" max="13568" width="8.85546875" style="4"/>
    <col min="13569" max="13569" width="1.7109375" style="4" customWidth="1"/>
    <col min="13570" max="13570" width="42.85546875" style="4" customWidth="1"/>
    <col min="13571" max="13576" width="10.7109375" style="4" customWidth="1"/>
    <col min="13577" max="13578" width="9.42578125" style="4" bestFit="1" customWidth="1"/>
    <col min="13579" max="13824" width="8.85546875" style="4"/>
    <col min="13825" max="13825" width="1.7109375" style="4" customWidth="1"/>
    <col min="13826" max="13826" width="42.85546875" style="4" customWidth="1"/>
    <col min="13827" max="13832" width="10.7109375" style="4" customWidth="1"/>
    <col min="13833" max="13834" width="9.42578125" style="4" bestFit="1" customWidth="1"/>
    <col min="13835" max="14080" width="8.85546875" style="4"/>
    <col min="14081" max="14081" width="1.7109375" style="4" customWidth="1"/>
    <col min="14082" max="14082" width="42.85546875" style="4" customWidth="1"/>
    <col min="14083" max="14088" width="10.7109375" style="4" customWidth="1"/>
    <col min="14089" max="14090" width="9.42578125" style="4" bestFit="1" customWidth="1"/>
    <col min="14091" max="14336" width="8.85546875" style="4"/>
    <col min="14337" max="14337" width="1.7109375" style="4" customWidth="1"/>
    <col min="14338" max="14338" width="42.85546875" style="4" customWidth="1"/>
    <col min="14339" max="14344" width="10.7109375" style="4" customWidth="1"/>
    <col min="14345" max="14346" width="9.42578125" style="4" bestFit="1" customWidth="1"/>
    <col min="14347" max="14592" width="8.85546875" style="4"/>
    <col min="14593" max="14593" width="1.7109375" style="4" customWidth="1"/>
    <col min="14594" max="14594" width="42.85546875" style="4" customWidth="1"/>
    <col min="14595" max="14600" width="10.7109375" style="4" customWidth="1"/>
    <col min="14601" max="14602" width="9.42578125" style="4" bestFit="1" customWidth="1"/>
    <col min="14603" max="14848" width="8.85546875" style="4"/>
    <col min="14849" max="14849" width="1.7109375" style="4" customWidth="1"/>
    <col min="14850" max="14850" width="42.85546875" style="4" customWidth="1"/>
    <col min="14851" max="14856" width="10.7109375" style="4" customWidth="1"/>
    <col min="14857" max="14858" width="9.42578125" style="4" bestFit="1" customWidth="1"/>
    <col min="14859" max="15104" width="8.85546875" style="4"/>
    <col min="15105" max="15105" width="1.7109375" style="4" customWidth="1"/>
    <col min="15106" max="15106" width="42.85546875" style="4" customWidth="1"/>
    <col min="15107" max="15112" width="10.7109375" style="4" customWidth="1"/>
    <col min="15113" max="15114" width="9.42578125" style="4" bestFit="1" customWidth="1"/>
    <col min="15115" max="15360" width="8.85546875" style="4"/>
    <col min="15361" max="15361" width="1.7109375" style="4" customWidth="1"/>
    <col min="15362" max="15362" width="42.85546875" style="4" customWidth="1"/>
    <col min="15363" max="15368" width="10.7109375" style="4" customWidth="1"/>
    <col min="15369" max="15370" width="9.42578125" style="4" bestFit="1" customWidth="1"/>
    <col min="15371" max="15616" width="8.85546875" style="4"/>
    <col min="15617" max="15617" width="1.7109375" style="4" customWidth="1"/>
    <col min="15618" max="15618" width="42.85546875" style="4" customWidth="1"/>
    <col min="15619" max="15624" width="10.7109375" style="4" customWidth="1"/>
    <col min="15625" max="15626" width="9.42578125" style="4" bestFit="1" customWidth="1"/>
    <col min="15627" max="15872" width="8.85546875" style="4"/>
    <col min="15873" max="15873" width="1.7109375" style="4" customWidth="1"/>
    <col min="15874" max="15874" width="42.85546875" style="4" customWidth="1"/>
    <col min="15875" max="15880" width="10.7109375" style="4" customWidth="1"/>
    <col min="15881" max="15882" width="9.42578125" style="4" bestFit="1" customWidth="1"/>
    <col min="15883" max="16128" width="8.85546875" style="4"/>
    <col min="16129" max="16129" width="1.7109375" style="4" customWidth="1"/>
    <col min="16130" max="16130" width="42.85546875" style="4" customWidth="1"/>
    <col min="16131" max="16136" width="10.7109375" style="4" customWidth="1"/>
    <col min="16137" max="16138" width="9.42578125" style="4" bestFit="1" customWidth="1"/>
    <col min="16139" max="16384" width="8.85546875" style="4"/>
  </cols>
  <sheetData>
    <row r="1" spans="1:15" s="2" customFormat="1" ht="19.5">
      <c r="A1" s="293" t="str">
        <f>CoName</f>
        <v>Fast Retailing</v>
      </c>
      <c r="B1" s="3"/>
      <c r="C1" s="43" t="s">
        <v>0</v>
      </c>
      <c r="D1" s="43" t="s">
        <v>0</v>
      </c>
      <c r="E1" s="43" t="s">
        <v>0</v>
      </c>
      <c r="F1" s="43" t="s">
        <v>1</v>
      </c>
      <c r="G1" s="43" t="s">
        <v>1</v>
      </c>
      <c r="H1" s="43" t="s">
        <v>1</v>
      </c>
      <c r="I1" s="43" t="s">
        <v>1</v>
      </c>
      <c r="J1" s="43" t="s">
        <v>1</v>
      </c>
      <c r="K1" s="43" t="s">
        <v>1</v>
      </c>
      <c r="L1" s="43" t="s">
        <v>1</v>
      </c>
      <c r="M1" s="43" t="s">
        <v>1</v>
      </c>
      <c r="N1" s="43"/>
      <c r="O1" s="43"/>
    </row>
    <row r="2" spans="1:15">
      <c r="A2" s="17" t="s">
        <v>9</v>
      </c>
      <c r="B2" s="66"/>
      <c r="C2" s="116">
        <v>45291</v>
      </c>
      <c r="D2" s="116">
        <f>C2+365</f>
        <v>45656</v>
      </c>
      <c r="E2" s="116">
        <f t="shared" ref="E2:M2" si="0">D2+365</f>
        <v>46021</v>
      </c>
      <c r="F2" s="116">
        <f t="shared" si="0"/>
        <v>46386</v>
      </c>
      <c r="G2" s="116">
        <f t="shared" si="0"/>
        <v>46751</v>
      </c>
      <c r="H2" s="116">
        <f t="shared" si="0"/>
        <v>47116</v>
      </c>
      <c r="I2" s="116">
        <f t="shared" si="0"/>
        <v>47481</v>
      </c>
      <c r="J2" s="116">
        <f t="shared" si="0"/>
        <v>47846</v>
      </c>
      <c r="K2" s="116">
        <f t="shared" si="0"/>
        <v>48211</v>
      </c>
      <c r="L2" s="116">
        <f t="shared" si="0"/>
        <v>48576</v>
      </c>
      <c r="M2" s="116">
        <f t="shared" si="0"/>
        <v>48941</v>
      </c>
      <c r="N2" s="233"/>
      <c r="O2" s="233"/>
    </row>
    <row r="3" spans="1:15">
      <c r="K3" s="6"/>
      <c r="L3" s="6"/>
      <c r="M3" s="6"/>
      <c r="N3" s="6"/>
      <c r="O3" s="6"/>
    </row>
    <row r="4" spans="1:15">
      <c r="B4" s="4" t="s">
        <v>142</v>
      </c>
      <c r="C4" s="45"/>
      <c r="D4" s="45"/>
      <c r="E4" s="46"/>
      <c r="F4" s="104">
        <f>Assumptions!F44</f>
        <v>2.5735263475374838E-2</v>
      </c>
      <c r="G4" s="104">
        <f>F4</f>
        <v>2.5735263475374838E-2</v>
      </c>
      <c r="H4" s="104">
        <f t="shared" ref="H4:J4" si="1">G4</f>
        <v>2.5735263475374838E-2</v>
      </c>
      <c r="I4" s="104">
        <f t="shared" si="1"/>
        <v>2.5735263475374838E-2</v>
      </c>
      <c r="J4" s="104">
        <f t="shared" si="1"/>
        <v>2.5735263475374838E-2</v>
      </c>
      <c r="K4" s="104">
        <f t="shared" ref="K4" si="2">J4</f>
        <v>2.5735263475374838E-2</v>
      </c>
      <c r="L4" s="104">
        <f t="shared" ref="L4" si="3">K4</f>
        <v>2.5735263475374838E-2</v>
      </c>
      <c r="M4" s="102">
        <f t="shared" ref="M4" si="4">L4</f>
        <v>2.5735263475374838E-2</v>
      </c>
      <c r="N4" s="187"/>
      <c r="O4" s="187"/>
    </row>
    <row r="5" spans="1:15">
      <c r="B5" s="4" t="s">
        <v>155</v>
      </c>
      <c r="C5" s="45"/>
      <c r="D5" s="45"/>
      <c r="E5" s="46"/>
      <c r="F5" s="104">
        <f>Assumptions!F45</f>
        <v>3.0715424819418333E-2</v>
      </c>
      <c r="G5" s="104">
        <f>Assumptions!G45</f>
        <v>3.0715424819418333E-2</v>
      </c>
      <c r="H5" s="104">
        <f>Assumptions!H45</f>
        <v>3.0715424819418333E-2</v>
      </c>
      <c r="I5" s="104">
        <f>Assumptions!I45</f>
        <v>3.0715424819418333E-2</v>
      </c>
      <c r="J5" s="104">
        <f>Assumptions!J45</f>
        <v>3.0715424819418333E-2</v>
      </c>
      <c r="K5" s="104">
        <f>Assumptions!K45</f>
        <v>3.0715424819418333E-2</v>
      </c>
      <c r="L5" s="104">
        <f>Assumptions!L45</f>
        <v>3.0715424819418333E-2</v>
      </c>
      <c r="M5" s="102">
        <f>Assumptions!M45</f>
        <v>3.0715424819418333E-2</v>
      </c>
      <c r="N5" s="187"/>
      <c r="O5" s="187"/>
    </row>
    <row r="6" spans="1:15">
      <c r="B6" s="4" t="s">
        <v>64</v>
      </c>
      <c r="C6" s="45"/>
      <c r="D6" s="45"/>
      <c r="E6" s="46"/>
      <c r="F6" s="104">
        <f>Assumptions!F46</f>
        <v>0.32510286756663725</v>
      </c>
      <c r="G6" s="104">
        <f>Assumptions!G46</f>
        <v>0.32510286756663725</v>
      </c>
      <c r="H6" s="104">
        <f>Assumptions!H46</f>
        <v>0.32510286756663725</v>
      </c>
      <c r="I6" s="104">
        <f>Assumptions!I46</f>
        <v>0.32510286756663725</v>
      </c>
      <c r="J6" s="104">
        <f>Assumptions!J46</f>
        <v>0.32510286756663725</v>
      </c>
      <c r="K6" s="104">
        <f>Assumptions!K46</f>
        <v>0.32510286756663725</v>
      </c>
      <c r="L6" s="104">
        <f>Assumptions!L46</f>
        <v>0.32510286756663725</v>
      </c>
      <c r="M6" s="102">
        <f>Assumptions!M46</f>
        <v>0.32510286756663725</v>
      </c>
      <c r="N6" s="187"/>
      <c r="O6" s="187"/>
    </row>
    <row r="7" spans="1:15">
      <c r="B7" s="4" t="s">
        <v>65</v>
      </c>
      <c r="C7" s="45"/>
      <c r="D7" s="45"/>
      <c r="E7" s="46"/>
      <c r="F7" s="104">
        <f>Assumptions!F47</f>
        <v>7.2523796962775606E-3</v>
      </c>
      <c r="G7" s="104">
        <f>Assumptions!G47</f>
        <v>7.2523796962775606E-3</v>
      </c>
      <c r="H7" s="104">
        <f>Assumptions!H47</f>
        <v>7.2523796962775606E-3</v>
      </c>
      <c r="I7" s="104">
        <f>Assumptions!I47</f>
        <v>7.2523796962775606E-3</v>
      </c>
      <c r="J7" s="104">
        <f>Assumptions!J47</f>
        <v>7.2523796962775606E-3</v>
      </c>
      <c r="K7" s="104">
        <f>Assumptions!K47</f>
        <v>7.2523796962775606E-3</v>
      </c>
      <c r="L7" s="104">
        <f>Assumptions!L47</f>
        <v>7.2523796962775606E-3</v>
      </c>
      <c r="M7" s="102">
        <f>Assumptions!M47</f>
        <v>7.2523796962775606E-3</v>
      </c>
      <c r="N7" s="187"/>
      <c r="O7" s="187"/>
    </row>
    <row r="8" spans="1:15">
      <c r="A8" s="7"/>
      <c r="C8" s="32"/>
      <c r="D8" s="32"/>
      <c r="E8" s="32"/>
      <c r="F8" s="105"/>
      <c r="G8" s="105"/>
      <c r="H8" s="105"/>
      <c r="I8" s="105"/>
      <c r="J8" s="105"/>
      <c r="K8" s="105"/>
      <c r="L8" s="105"/>
      <c r="M8" s="105"/>
      <c r="N8" s="187"/>
      <c r="O8" s="187"/>
    </row>
    <row r="9" spans="1:15">
      <c r="B9" s="4" t="s">
        <v>66</v>
      </c>
      <c r="C9" s="45"/>
      <c r="D9" s="45"/>
      <c r="E9" s="46"/>
      <c r="F9" s="104">
        <f>Assumptions!F50</f>
        <v>1.3142622390156384E-2</v>
      </c>
      <c r="G9" s="104">
        <f>Assumptions!G50</f>
        <v>1.3142622390156384E-2</v>
      </c>
      <c r="H9" s="104">
        <f>Assumptions!H50</f>
        <v>1.3142622390156384E-2</v>
      </c>
      <c r="I9" s="104">
        <f>Assumptions!I50</f>
        <v>1.3142622390156384E-2</v>
      </c>
      <c r="J9" s="104">
        <f>Assumptions!J50</f>
        <v>1.3142622390156384E-2</v>
      </c>
      <c r="K9" s="104">
        <f>Assumptions!K50</f>
        <v>1.3142622390156384E-2</v>
      </c>
      <c r="L9" s="104">
        <f>Assumptions!L50</f>
        <v>1.3142622390156384E-2</v>
      </c>
      <c r="M9" s="102">
        <f>Assumptions!M50</f>
        <v>1.3142622390156384E-2</v>
      </c>
      <c r="N9" s="187"/>
      <c r="O9" s="187"/>
    </row>
    <row r="10" spans="1:15">
      <c r="B10" s="4" t="s">
        <v>164</v>
      </c>
      <c r="C10" s="45"/>
      <c r="D10" s="45"/>
      <c r="E10" s="156"/>
      <c r="F10" s="103">
        <f>Assumptions!F49</f>
        <v>377681</v>
      </c>
      <c r="G10" s="103">
        <f>Assumptions!G49</f>
        <v>377681</v>
      </c>
      <c r="H10" s="103">
        <f>Assumptions!H49</f>
        <v>377681</v>
      </c>
      <c r="I10" s="103">
        <f>Assumptions!I49</f>
        <v>377681</v>
      </c>
      <c r="J10" s="103">
        <f>Assumptions!J49</f>
        <v>377681</v>
      </c>
      <c r="K10" s="103">
        <f>Assumptions!K49</f>
        <v>377681</v>
      </c>
      <c r="L10" s="103">
        <f>Assumptions!L49</f>
        <v>377681</v>
      </c>
      <c r="M10" s="103">
        <f>Assumptions!M49</f>
        <v>377681</v>
      </c>
      <c r="N10" s="215"/>
      <c r="O10" s="215"/>
    </row>
    <row r="11" spans="1:15">
      <c r="C11" s="32"/>
      <c r="D11" s="32"/>
      <c r="E11" s="32"/>
      <c r="F11" s="105"/>
      <c r="G11" s="105"/>
      <c r="H11" s="105"/>
      <c r="I11" s="105"/>
      <c r="J11" s="105"/>
      <c r="K11" s="105"/>
      <c r="L11" s="105"/>
      <c r="M11" s="105"/>
      <c r="N11" s="187"/>
      <c r="O11" s="187"/>
    </row>
    <row r="12" spans="1:15">
      <c r="B12" s="4" t="s">
        <v>154</v>
      </c>
      <c r="C12" s="45"/>
      <c r="D12" s="45"/>
      <c r="E12" s="46"/>
      <c r="F12" s="104">
        <f>Assumptions!F54</f>
        <v>0.24823676051310667</v>
      </c>
      <c r="G12" s="104">
        <f>Assumptions!G54</f>
        <v>0.24823676051310667</v>
      </c>
      <c r="H12" s="104">
        <f>Assumptions!H54</f>
        <v>0.24823676051310667</v>
      </c>
      <c r="I12" s="104">
        <f>Assumptions!I54</f>
        <v>0.24823676051310667</v>
      </c>
      <c r="J12" s="104">
        <f>Assumptions!J54</f>
        <v>0.24823676051310667</v>
      </c>
      <c r="K12" s="104">
        <f>Assumptions!K54</f>
        <v>0.24823676051310667</v>
      </c>
      <c r="L12" s="104">
        <f>Assumptions!L54</f>
        <v>0.24823676051310667</v>
      </c>
      <c r="M12" s="102">
        <f>Assumptions!M54</f>
        <v>0.24823676051310667</v>
      </c>
      <c r="N12" s="187"/>
      <c r="O12" s="187"/>
    </row>
    <row r="13" spans="1:15">
      <c r="B13" s="4" t="s">
        <v>67</v>
      </c>
      <c r="C13" s="45"/>
      <c r="D13" s="45"/>
      <c r="E13" s="28"/>
      <c r="F13" s="104">
        <f>Assumptions!F55</f>
        <v>0.15325188153995586</v>
      </c>
      <c r="G13" s="104">
        <f>Assumptions!G55</f>
        <v>0.15325188153995586</v>
      </c>
      <c r="H13" s="104">
        <f>Assumptions!H55</f>
        <v>0.15325188153995586</v>
      </c>
      <c r="I13" s="104">
        <f>Assumptions!I55</f>
        <v>0.15325188153995586</v>
      </c>
      <c r="J13" s="104">
        <f>Assumptions!J55</f>
        <v>0.15325188153995586</v>
      </c>
      <c r="K13" s="104">
        <f>Assumptions!K55</f>
        <v>0.15325188153995586</v>
      </c>
      <c r="L13" s="104">
        <f>Assumptions!L55</f>
        <v>0.15325188153995586</v>
      </c>
      <c r="M13" s="104">
        <f>Assumptions!M55</f>
        <v>0.15325188153995586</v>
      </c>
      <c r="N13" s="187"/>
      <c r="O13" s="187"/>
    </row>
    <row r="14" spans="1:15">
      <c r="B14" s="4" t="s">
        <v>68</v>
      </c>
      <c r="C14" s="45"/>
      <c r="D14" s="45"/>
      <c r="E14" s="46"/>
      <c r="F14" s="295">
        <f>Assumptions!F56</f>
        <v>0.12034209870846946</v>
      </c>
      <c r="G14" s="295">
        <f>Assumptions!G56</f>
        <v>0.12034209870846946</v>
      </c>
      <c r="H14" s="295">
        <f>Assumptions!H56</f>
        <v>0.12034209870846946</v>
      </c>
      <c r="I14" s="295">
        <f>Assumptions!I56</f>
        <v>0.12034209870846946</v>
      </c>
      <c r="J14" s="295">
        <f>Assumptions!J56</f>
        <v>0.12034209870846946</v>
      </c>
      <c r="K14" s="295">
        <f>Assumptions!K56</f>
        <v>0.12034209870846946</v>
      </c>
      <c r="L14" s="295">
        <f>Assumptions!L56</f>
        <v>0.12034209870846946</v>
      </c>
      <c r="M14" s="130">
        <f>Assumptions!M56</f>
        <v>0.12034209870846946</v>
      </c>
      <c r="N14" s="187"/>
      <c r="O14" s="187"/>
    </row>
    <row r="15" spans="1:15">
      <c r="C15" s="45"/>
      <c r="D15" s="45"/>
      <c r="E15" s="45"/>
      <c r="F15" s="105"/>
      <c r="G15" s="105"/>
      <c r="H15" s="105"/>
      <c r="I15" s="105"/>
      <c r="J15" s="105"/>
      <c r="K15" s="105"/>
      <c r="L15" s="105"/>
      <c r="M15" s="105"/>
      <c r="N15" s="187"/>
      <c r="O15" s="187"/>
    </row>
    <row r="16" spans="1:15" ht="15" customHeight="1">
      <c r="A16" s="195" t="s">
        <v>63</v>
      </c>
      <c r="B16" s="196"/>
      <c r="C16" s="157">
        <f>C2</f>
        <v>45291</v>
      </c>
      <c r="D16" s="157">
        <f t="shared" ref="D16:M16" si="5">D2</f>
        <v>45656</v>
      </c>
      <c r="E16" s="157">
        <f t="shared" si="5"/>
        <v>46021</v>
      </c>
      <c r="F16" s="157">
        <f t="shared" si="5"/>
        <v>46386</v>
      </c>
      <c r="G16" s="157">
        <f t="shared" si="5"/>
        <v>46751</v>
      </c>
      <c r="H16" s="157">
        <f t="shared" si="5"/>
        <v>47116</v>
      </c>
      <c r="I16" s="157">
        <f t="shared" si="5"/>
        <v>47481</v>
      </c>
      <c r="J16" s="157">
        <f t="shared" si="5"/>
        <v>47846</v>
      </c>
      <c r="K16" s="200">
        <f t="shared" si="5"/>
        <v>48211</v>
      </c>
      <c r="L16" s="200">
        <f t="shared" si="5"/>
        <v>48576</v>
      </c>
      <c r="M16" s="200">
        <f t="shared" si="5"/>
        <v>48941</v>
      </c>
      <c r="N16" s="225"/>
      <c r="O16" s="225"/>
    </row>
    <row r="17" spans="1:15">
      <c r="B17" s="4" t="s">
        <v>160</v>
      </c>
      <c r="C17" s="306">
        <f>(IncState!C18/365)*25</f>
        <v>72216.438356164377</v>
      </c>
      <c r="D17" s="306">
        <f>(IncState!D18/365)*25</f>
        <v>81350.205479452052</v>
      </c>
      <c r="E17" s="204">
        <f>(IncState!E18/365)*25</f>
        <v>87513.767123287675</v>
      </c>
      <c r="F17" s="4">
        <f>F4*IncState!F16</f>
        <v>96477.390118396055</v>
      </c>
      <c r="G17" s="4">
        <f>G4*IncState!G16</f>
        <v>106524.18011639634</v>
      </c>
      <c r="H17" s="4">
        <f>H4*IncState!H16</f>
        <v>117803.16235990562</v>
      </c>
      <c r="I17" s="4">
        <f>I4*IncState!I16</f>
        <v>130486.0949483804</v>
      </c>
      <c r="J17" s="4">
        <f>J4*IncState!J16</f>
        <v>144771.23554204454</v>
      </c>
      <c r="K17" s="4">
        <f>K4*IncState!K16</f>
        <v>160887.77308748275</v>
      </c>
      <c r="L17" s="4">
        <f>L4*IncState!L16</f>
        <v>179101.04743962982</v>
      </c>
      <c r="M17" s="4">
        <f>M4*IncState!M16</f>
        <v>199718.70316120895</v>
      </c>
    </row>
    <row r="18" spans="1:15">
      <c r="B18" s="4" t="s">
        <v>161</v>
      </c>
      <c r="C18" s="203">
        <f>903280+576194+132101-C17</f>
        <v>1539358.5616438356</v>
      </c>
      <c r="D18" s="203">
        <f>1193560+470554+111658-D17</f>
        <v>1694421.7945205478</v>
      </c>
      <c r="E18" s="204">
        <f>893239+899701+94803-E17</f>
        <v>1800229.2328767122</v>
      </c>
      <c r="F18" s="339">
        <f>MAX(CashFlow!F23,0)</f>
        <v>2240720.2763436344</v>
      </c>
      <c r="G18" s="339">
        <f>MAX(CashFlow!G23,0)</f>
        <v>2638954.8637805991</v>
      </c>
      <c r="H18" s="339">
        <f>MAX(CashFlow!H23,0)</f>
        <v>3045162.2998623024</v>
      </c>
      <c r="I18" s="339">
        <f>MAX(CashFlow!I23,0)</f>
        <v>3475294.9950280786</v>
      </c>
      <c r="J18" s="339">
        <f>MAX(CashFlow!J23,0)</f>
        <v>3943308.904103003</v>
      </c>
      <c r="K18" s="339">
        <f>MAX(CashFlow!K23,0)</f>
        <v>4462247.5045087319</v>
      </c>
      <c r="L18" s="339">
        <f>MAX(CashFlow!L23,0)</f>
        <v>5045054.3588011581</v>
      </c>
      <c r="M18" s="339">
        <f>MAX(CashFlow!M23,0)</f>
        <v>5705212.9723744821</v>
      </c>
    </row>
    <row r="19" spans="1:15">
      <c r="B19" s="4" t="s">
        <v>69</v>
      </c>
      <c r="C19" s="205">
        <f>66831+23660</f>
        <v>90491</v>
      </c>
      <c r="D19" s="205">
        <f>83929+2210</f>
        <v>86139</v>
      </c>
      <c r="E19" s="206">
        <f>96407+8042</f>
        <v>104449</v>
      </c>
      <c r="F19" s="4">
        <f>F5*IncState!F16</f>
        <v>115147.21913730576</v>
      </c>
      <c r="G19" s="4">
        <f>G5*IncState!G16</f>
        <v>127138.21441720029</v>
      </c>
      <c r="H19" s="4">
        <f>H5*IncState!H16</f>
        <v>140599.84971273781</v>
      </c>
      <c r="I19" s="4">
        <f>I5*IncState!I16</f>
        <v>155737.12090422204</v>
      </c>
      <c r="J19" s="4">
        <f>J5*IncState!J16</f>
        <v>172786.65149711297</v>
      </c>
      <c r="K19" s="4">
        <f>K5*IncState!K16</f>
        <v>192021.98195331419</v>
      </c>
      <c r="L19" s="4">
        <f>L5*IncState!L16</f>
        <v>213759.79938868299</v>
      </c>
      <c r="M19" s="4">
        <f>M5*IncState!M16</f>
        <v>238367.28222540536</v>
      </c>
    </row>
    <row r="20" spans="1:15">
      <c r="B20" s="4" t="s">
        <v>70</v>
      </c>
      <c r="C20" s="205">
        <v>449254</v>
      </c>
      <c r="D20" s="205">
        <v>474460</v>
      </c>
      <c r="E20" s="206">
        <v>510958</v>
      </c>
      <c r="F20" s="4">
        <f>F6*IncState!F17</f>
        <v>563293.02143591107</v>
      </c>
      <c r="G20" s="4">
        <f>G6*IncState!G17</f>
        <v>621952.2232111732</v>
      </c>
      <c r="H20" s="4">
        <f>H6*IncState!H17</f>
        <v>687805.70431043941</v>
      </c>
      <c r="I20" s="4">
        <f>I6*IncState!I17</f>
        <v>761856.29180728854</v>
      </c>
      <c r="J20" s="4">
        <f>J6*IncState!J17</f>
        <v>845261.53314691235</v>
      </c>
      <c r="K20" s="4">
        <f>K6*IncState!K17</f>
        <v>939359.57122520567</v>
      </c>
      <c r="L20" s="4">
        <f>L6*IncState!L17</f>
        <v>1045699.6196808268</v>
      </c>
      <c r="M20" s="4">
        <f>M6*IncState!M17</f>
        <v>1166077.8924769855</v>
      </c>
    </row>
    <row r="21" spans="1:15">
      <c r="B21" s="4" t="s">
        <v>71</v>
      </c>
      <c r="C21" s="205">
        <v>25372</v>
      </c>
      <c r="D21" s="205">
        <v>26897</v>
      </c>
      <c r="E21" s="206">
        <v>24662</v>
      </c>
      <c r="F21" s="4">
        <f>F7*IncState!F16</f>
        <v>27188.012507197145</v>
      </c>
      <c r="G21" s="4">
        <f>G7*IncState!G16</f>
        <v>30019.269154869777</v>
      </c>
      <c r="H21" s="4">
        <f>H7*IncState!H16</f>
        <v>33197.76631289471</v>
      </c>
      <c r="I21" s="4">
        <f>I7*IncState!I16</f>
        <v>36771.906631369602</v>
      </c>
      <c r="J21" s="4">
        <f>J7*IncState!J16</f>
        <v>40797.560524483713</v>
      </c>
      <c r="K21" s="4">
        <f>K7*IncState!K16</f>
        <v>45339.315062208676</v>
      </c>
      <c r="L21" s="4">
        <f>L7*IncState!L16</f>
        <v>50471.944896779285</v>
      </c>
      <c r="M21" s="4">
        <f>M7*IncState!M16</f>
        <v>56282.146447002335</v>
      </c>
    </row>
    <row r="22" spans="1:15" s="11" customFormat="1">
      <c r="B22" s="11" t="s">
        <v>72</v>
      </c>
      <c r="C22" s="11">
        <f>SUM(C17:C21)</f>
        <v>2176692</v>
      </c>
      <c r="D22" s="11">
        <f>SUM(D17:D21)</f>
        <v>2363268</v>
      </c>
      <c r="E22" s="26">
        <f t="shared" ref="E22" si="6">SUM(E17:E21)</f>
        <v>2527812</v>
      </c>
      <c r="F22" s="11">
        <f>SUM(F17:F21)</f>
        <v>3042825.9195424444</v>
      </c>
      <c r="G22" s="11">
        <f t="shared" ref="G22:M22" si="7">SUM(G17:G21)</f>
        <v>3524588.7506802389</v>
      </c>
      <c r="H22" s="11">
        <f t="shared" si="7"/>
        <v>4024568.78255828</v>
      </c>
      <c r="I22" s="11">
        <f t="shared" si="7"/>
        <v>4560146.4093193384</v>
      </c>
      <c r="J22" s="11">
        <f t="shared" si="7"/>
        <v>5146925.8848135564</v>
      </c>
      <c r="K22" s="11">
        <f t="shared" si="7"/>
        <v>5799856.1458369438</v>
      </c>
      <c r="L22" s="11">
        <f t="shared" si="7"/>
        <v>6534086.7702070773</v>
      </c>
      <c r="M22" s="11">
        <f t="shared" si="7"/>
        <v>7365658.996685084</v>
      </c>
    </row>
    <row r="23" spans="1:15">
      <c r="A23" s="7"/>
      <c r="E23" s="29"/>
      <c r="I23" s="4"/>
      <c r="J23" s="4"/>
    </row>
    <row r="24" spans="1:15">
      <c r="B24" s="4" t="s">
        <v>73</v>
      </c>
      <c r="C24" s="205">
        <f>221877+389183</f>
        <v>611060</v>
      </c>
      <c r="D24" s="205">
        <f>245742+416712</f>
        <v>662454</v>
      </c>
      <c r="E24" s="206">
        <f>332351+477111</f>
        <v>809462</v>
      </c>
      <c r="F24" s="4">
        <f>Calcs!F9</f>
        <v>678933.01668673358</v>
      </c>
      <c r="G24" s="4">
        <f>Calcs!G9</f>
        <v>626191.79666995199</v>
      </c>
      <c r="H24" s="4">
        <f>Calcs!H9</f>
        <v>607419.56506518985</v>
      </c>
      <c r="I24" s="4">
        <f>Calcs!I9</f>
        <v>613980.29761756375</v>
      </c>
      <c r="J24" s="4">
        <f>Calcs!J9</f>
        <v>640281.66634884663</v>
      </c>
      <c r="K24" s="4">
        <f>Calcs!K9</f>
        <v>682856.31020017026</v>
      </c>
      <c r="L24" s="4">
        <f>Calcs!L9</f>
        <v>739742.65779976407</v>
      </c>
      <c r="M24" s="4">
        <f>Calcs!M9</f>
        <v>810071.66021570575</v>
      </c>
    </row>
    <row r="25" spans="1:15">
      <c r="B25" s="4" t="s">
        <v>162</v>
      </c>
      <c r="C25" s="205">
        <f>8092+87300</f>
        <v>95392</v>
      </c>
      <c r="D25" s="205">
        <f>8092+92568</f>
        <v>100660</v>
      </c>
      <c r="E25" s="206">
        <f>8092+91606</f>
        <v>99698</v>
      </c>
      <c r="F25" s="135">
        <f>E25-IncState!F7</f>
        <v>99698</v>
      </c>
      <c r="G25" s="135">
        <f>F25-IncState!G7</f>
        <v>99698</v>
      </c>
      <c r="H25" s="135">
        <f>G25-IncState!H7</f>
        <v>99698</v>
      </c>
      <c r="I25" s="135">
        <f>H25-IncState!I7</f>
        <v>99698</v>
      </c>
      <c r="J25" s="135">
        <f>I25-IncState!J7</f>
        <v>99698</v>
      </c>
      <c r="K25" s="135">
        <f>J25-IncState!K7</f>
        <v>99698</v>
      </c>
      <c r="L25" s="135">
        <f>K25-IncState!L7</f>
        <v>99698</v>
      </c>
      <c r="M25" s="135">
        <f>L25-IncState!M7</f>
        <v>99698</v>
      </c>
      <c r="N25" s="135"/>
      <c r="O25" s="135"/>
    </row>
    <row r="26" spans="1:15">
      <c r="B26" s="4" t="s">
        <v>163</v>
      </c>
      <c r="C26" s="205">
        <f>240363+18974+114151</f>
        <v>373488</v>
      </c>
      <c r="D26" s="205">
        <f>336302+19559+66995</f>
        <v>422856</v>
      </c>
      <c r="E26" s="206">
        <f>312438+31361+33882</f>
        <v>377681</v>
      </c>
      <c r="F26" s="4">
        <f>F10</f>
        <v>377681</v>
      </c>
      <c r="G26" s="4">
        <f t="shared" ref="G26:M26" si="8">G10</f>
        <v>377681</v>
      </c>
      <c r="H26" s="4">
        <f t="shared" si="8"/>
        <v>377681</v>
      </c>
      <c r="I26" s="4">
        <f t="shared" si="8"/>
        <v>377681</v>
      </c>
      <c r="J26" s="4">
        <f t="shared" si="8"/>
        <v>377681</v>
      </c>
      <c r="K26" s="4">
        <f t="shared" si="8"/>
        <v>377681</v>
      </c>
      <c r="L26" s="4">
        <f t="shared" si="8"/>
        <v>377681</v>
      </c>
      <c r="M26" s="4">
        <f t="shared" si="8"/>
        <v>377681</v>
      </c>
    </row>
    <row r="27" spans="1:15">
      <c r="B27" s="4" t="s">
        <v>165</v>
      </c>
      <c r="C27" s="205">
        <f>8846+38208</f>
        <v>47054</v>
      </c>
      <c r="D27" s="205">
        <f>5888+32432</f>
        <v>38320</v>
      </c>
      <c r="E27" s="206">
        <f>3803+40889</f>
        <v>44692</v>
      </c>
      <c r="F27" s="4">
        <f>F9*IncState!F16</f>
        <v>49269.591070134411</v>
      </c>
      <c r="G27" s="4">
        <f>G9*IncState!G16</f>
        <v>54400.339675186122</v>
      </c>
      <c r="H27" s="4">
        <f>H9*IncState!H16</f>
        <v>60160.350825394962</v>
      </c>
      <c r="I27" s="4">
        <f>I9*IncState!I16</f>
        <v>66637.338868265768</v>
      </c>
      <c r="J27" s="4">
        <f>J9*IncState!J16</f>
        <v>73932.551089134155</v>
      </c>
      <c r="K27" s="4">
        <f>K9*IncState!K16</f>
        <v>82163.030928563385</v>
      </c>
      <c r="L27" s="4">
        <f>L9*IncState!L16</f>
        <v>91464.28356689887</v>
      </c>
      <c r="M27" s="4">
        <f>M9*IncState!M16</f>
        <v>101993.41857957296</v>
      </c>
    </row>
    <row r="28" spans="1:15" s="11" customFormat="1">
      <c r="B28" s="11" t="s">
        <v>74</v>
      </c>
      <c r="C28" s="11">
        <f>SUM(C24:C27)</f>
        <v>1126994</v>
      </c>
      <c r="D28" s="11">
        <f>SUM(D24:D27)</f>
        <v>1224290</v>
      </c>
      <c r="E28" s="26">
        <f>SUM(E24:E27)</f>
        <v>1331533</v>
      </c>
      <c r="F28" s="11">
        <f>SUM(F24:F27)</f>
        <v>1205581.607756868</v>
      </c>
      <c r="G28" s="11">
        <f t="shared" ref="G28:M28" si="9">SUM(G24:G27)</f>
        <v>1157971.1363451383</v>
      </c>
      <c r="H28" s="11">
        <f t="shared" si="9"/>
        <v>1144958.9158905847</v>
      </c>
      <c r="I28" s="11">
        <f t="shared" si="9"/>
        <v>1157996.6364858295</v>
      </c>
      <c r="J28" s="11">
        <f t="shared" si="9"/>
        <v>1191593.2174379807</v>
      </c>
      <c r="K28" s="11">
        <f t="shared" si="9"/>
        <v>1242398.3411287335</v>
      </c>
      <c r="L28" s="11">
        <f t="shared" si="9"/>
        <v>1308585.941366663</v>
      </c>
      <c r="M28" s="11">
        <f t="shared" si="9"/>
        <v>1389444.0787952787</v>
      </c>
    </row>
    <row r="29" spans="1:15">
      <c r="E29" s="29"/>
      <c r="I29" s="4"/>
      <c r="J29" s="4"/>
    </row>
    <row r="30" spans="1:15" s="11" customFormat="1">
      <c r="A30" s="11" t="s">
        <v>125</v>
      </c>
      <c r="B30" s="18" t="s">
        <v>75</v>
      </c>
      <c r="C30" s="19">
        <f>SUM(C28,C22)</f>
        <v>3303686</v>
      </c>
      <c r="D30" s="19">
        <f>SUM(D28,D22)</f>
        <v>3587558</v>
      </c>
      <c r="E30" s="19">
        <f>SUM(E28,E22)</f>
        <v>3859345</v>
      </c>
      <c r="F30" s="19">
        <f>SUM(F28,F22)</f>
        <v>4248407.5272993129</v>
      </c>
      <c r="G30" s="19">
        <f t="shared" ref="G30:M30" si="10">SUM(G28,G22)</f>
        <v>4682559.8870253768</v>
      </c>
      <c r="H30" s="19">
        <f t="shared" si="10"/>
        <v>5169527.6984488647</v>
      </c>
      <c r="I30" s="19">
        <f t="shared" si="10"/>
        <v>5718143.0458051674</v>
      </c>
      <c r="J30" s="19">
        <f t="shared" si="10"/>
        <v>6338519.1022515371</v>
      </c>
      <c r="K30" s="19">
        <f t="shared" si="10"/>
        <v>7042254.4869656768</v>
      </c>
      <c r="L30" s="19">
        <f t="shared" si="10"/>
        <v>7842672.7115737405</v>
      </c>
      <c r="M30" s="19">
        <f t="shared" si="10"/>
        <v>8755103.0754803624</v>
      </c>
    </row>
    <row r="31" spans="1:15">
      <c r="A31" s="11"/>
      <c r="E31" s="29"/>
      <c r="I31" s="4"/>
      <c r="J31" s="4"/>
      <c r="N31" s="6"/>
      <c r="O31" s="6"/>
    </row>
    <row r="32" spans="1:15">
      <c r="B32" s="4" t="s">
        <v>76</v>
      </c>
      <c r="C32" s="9">
        <v>0</v>
      </c>
      <c r="D32" s="9">
        <v>0</v>
      </c>
      <c r="E32" s="47">
        <v>0</v>
      </c>
      <c r="F32" s="339">
        <f>MIN(CashFlow!F23,0)</f>
        <v>0</v>
      </c>
      <c r="G32" s="339">
        <f>MIN(CashFlow!G23,0)</f>
        <v>0</v>
      </c>
      <c r="H32" s="339">
        <f>MIN(CashFlow!H23,0)</f>
        <v>0</v>
      </c>
      <c r="I32" s="339">
        <f>MIN(CashFlow!I23,0)</f>
        <v>0</v>
      </c>
      <c r="J32" s="339">
        <f>MIN(CashFlow!J23,0)</f>
        <v>0</v>
      </c>
      <c r="K32" s="339">
        <f>MIN(CashFlow!K23,0)</f>
        <v>0</v>
      </c>
      <c r="L32" s="339">
        <f>MIN(CashFlow!L23,0)</f>
        <v>0</v>
      </c>
      <c r="M32" s="339">
        <f>MIN(CashFlow!M23,0)</f>
        <v>0</v>
      </c>
    </row>
    <row r="33" spans="1:15">
      <c r="B33" s="4" t="s">
        <v>153</v>
      </c>
      <c r="C33" s="205">
        <v>338901</v>
      </c>
      <c r="D33" s="9">
        <v>388656</v>
      </c>
      <c r="E33" s="47">
        <v>390149</v>
      </c>
      <c r="F33" s="4">
        <f>F12*IncState!F17</f>
        <v>430110.12455074443</v>
      </c>
      <c r="G33" s="4">
        <f>G12*IncState!G17</f>
        <v>474900.16387573146</v>
      </c>
      <c r="H33" s="4">
        <f>H12*IncState!H17</f>
        <v>525183.49400736194</v>
      </c>
      <c r="I33" s="4">
        <f>I12*IncState!I17</f>
        <v>581725.83733363962</v>
      </c>
      <c r="J33" s="4">
        <f>J12*IncState!J17</f>
        <v>645411.05510772846</v>
      </c>
      <c r="K33" s="4">
        <f>K12*IncState!K17</f>
        <v>717260.90472004109</v>
      </c>
      <c r="L33" s="4">
        <f>L12*IncState!L17</f>
        <v>798458.30952613498</v>
      </c>
      <c r="M33" s="4">
        <f>M12*IncState!M17</f>
        <v>890374.7933724561</v>
      </c>
    </row>
    <row r="34" spans="1:15">
      <c r="B34" s="4" t="s">
        <v>77</v>
      </c>
      <c r="C34" s="205">
        <f>61913+3600+126992+65428+2642+129782</f>
        <v>390357</v>
      </c>
      <c r="D34" s="9">
        <f>104770+12716+130744+65525+1774+148201</f>
        <v>463730</v>
      </c>
      <c r="E34" s="47">
        <f>150942+19250+126830+73072+1651+149394</f>
        <v>521139</v>
      </c>
      <c r="F34" s="4">
        <f>F13*IncState!F16</f>
        <v>574516.81331555475</v>
      </c>
      <c r="G34" s="4">
        <f>G13*IncState!G16</f>
        <v>634344.81826695648</v>
      </c>
      <c r="H34" s="4">
        <f>H13*IncState!H16</f>
        <v>701510.45083673822</v>
      </c>
      <c r="I34" s="4">
        <f>I13*IncState!I16</f>
        <v>777036.51974557317</v>
      </c>
      <c r="J34" s="4">
        <f>J13*IncState!J16</f>
        <v>862103.63693816075</v>
      </c>
      <c r="K34" s="4">
        <f>K13*IncState!K16</f>
        <v>958076.60823146405</v>
      </c>
      <c r="L34" s="4">
        <f>L13*IncState!L16</f>
        <v>1066535.5158366174</v>
      </c>
      <c r="M34" s="4">
        <f>M13*IncState!M16</f>
        <v>1189312.3638490126</v>
      </c>
    </row>
    <row r="35" spans="1:15" s="11" customFormat="1">
      <c r="B35" s="11" t="s">
        <v>78</v>
      </c>
      <c r="C35" s="11">
        <f t="shared" ref="C35:E35" si="11">SUM(C32:C34)</f>
        <v>729258</v>
      </c>
      <c r="D35" s="11">
        <f t="shared" si="11"/>
        <v>852386</v>
      </c>
      <c r="E35" s="26">
        <f t="shared" si="11"/>
        <v>911288</v>
      </c>
      <c r="F35" s="11">
        <f>SUM(F32:F34)</f>
        <v>1004626.9378662992</v>
      </c>
      <c r="G35" s="11">
        <f t="shared" ref="G35:M35" si="12">SUM(G32:G34)</f>
        <v>1109244.982142688</v>
      </c>
      <c r="H35" s="11">
        <f t="shared" si="12"/>
        <v>1226693.9448441002</v>
      </c>
      <c r="I35" s="11">
        <f t="shared" si="12"/>
        <v>1358762.3570792128</v>
      </c>
      <c r="J35" s="11">
        <f t="shared" si="12"/>
        <v>1507514.6920458893</v>
      </c>
      <c r="K35" s="11">
        <f t="shared" si="12"/>
        <v>1675337.5129515051</v>
      </c>
      <c r="L35" s="11">
        <f t="shared" si="12"/>
        <v>1864993.8253627524</v>
      </c>
      <c r="M35" s="11">
        <f t="shared" si="12"/>
        <v>2079687.1572214686</v>
      </c>
    </row>
    <row r="36" spans="1:15">
      <c r="B36" s="11"/>
      <c r="E36" s="29"/>
      <c r="I36" s="4"/>
      <c r="J36" s="4"/>
    </row>
    <row r="37" spans="1:15">
      <c r="B37" s="4" t="s">
        <v>79</v>
      </c>
      <c r="C37" s="205">
        <v>240913</v>
      </c>
      <c r="D37" s="9">
        <v>240935</v>
      </c>
      <c r="E37" s="47">
        <v>211328</v>
      </c>
      <c r="F37" s="4">
        <f>Debt!F27</f>
        <v>211328</v>
      </c>
      <c r="G37" s="4">
        <f>Debt!G27</f>
        <v>211328</v>
      </c>
      <c r="H37" s="4">
        <f>Debt!H27</f>
        <v>211328</v>
      </c>
      <c r="I37" s="4">
        <f>Debt!I27</f>
        <v>211328</v>
      </c>
      <c r="J37" s="4">
        <f>Debt!J27</f>
        <v>211328</v>
      </c>
      <c r="K37" s="4">
        <f>Debt!K27</f>
        <v>211328</v>
      </c>
      <c r="L37" s="4">
        <f>Debt!L27</f>
        <v>211328</v>
      </c>
      <c r="M37" s="4">
        <f>Debt!M27</f>
        <v>211328</v>
      </c>
    </row>
    <row r="38" spans="1:15">
      <c r="B38" s="4" t="s">
        <v>80</v>
      </c>
      <c r="C38" s="205">
        <v>460155</v>
      </c>
      <c r="D38" s="9">
        <v>425983</v>
      </c>
      <c r="E38" s="47">
        <f>409228</f>
        <v>409228</v>
      </c>
      <c r="F38" s="4">
        <f>BalSheet!F14*IncState!F16</f>
        <v>451143.29666269053</v>
      </c>
      <c r="G38" s="4">
        <f>BalSheet!G14*IncState!G16</f>
        <v>498123.65086809872</v>
      </c>
      <c r="H38" s="4">
        <f>BalSheet!H14*IncState!H16</f>
        <v>550865.92785229417</v>
      </c>
      <c r="I38" s="4">
        <f>BalSheet!I14*IncState!I16</f>
        <v>610173.29522918339</v>
      </c>
      <c r="J38" s="4">
        <f>BalSheet!J14*IncState!J16</f>
        <v>676972.83668451151</v>
      </c>
      <c r="K38" s="4">
        <f>BalSheet!K14*IncState!K16</f>
        <v>752336.27541470819</v>
      </c>
      <c r="L38" s="4">
        <f>BalSheet!L14*IncState!L16</f>
        <v>837504.38189194689</v>
      </c>
      <c r="M38" s="4">
        <f>BalSheet!M14*IncState!M16</f>
        <v>933915.74998839805</v>
      </c>
    </row>
    <row r="39" spans="1:15">
      <c r="B39" s="11" t="s">
        <v>81</v>
      </c>
      <c r="C39" s="11">
        <f t="shared" ref="C39:E39" si="13">SUM(C37:C38)</f>
        <v>701068</v>
      </c>
      <c r="D39" s="11">
        <f t="shared" si="13"/>
        <v>666918</v>
      </c>
      <c r="E39" s="26">
        <f t="shared" si="13"/>
        <v>620556</v>
      </c>
      <c r="F39" s="11">
        <f>SUM(F37:F38)</f>
        <v>662471.29666269058</v>
      </c>
      <c r="G39" s="11">
        <f t="shared" ref="G39:M39" si="14">SUM(G37:G38)</f>
        <v>709451.65086809872</v>
      </c>
      <c r="H39" s="11">
        <f t="shared" si="14"/>
        <v>762193.92785229417</v>
      </c>
      <c r="I39" s="11">
        <f t="shared" si="14"/>
        <v>821501.29522918339</v>
      </c>
      <c r="J39" s="11">
        <f t="shared" si="14"/>
        <v>888300.83668451151</v>
      </c>
      <c r="K39" s="11">
        <f t="shared" si="14"/>
        <v>963664.27541470819</v>
      </c>
      <c r="L39" s="11">
        <f t="shared" si="14"/>
        <v>1048832.3818919468</v>
      </c>
      <c r="M39" s="11">
        <f t="shared" si="14"/>
        <v>1145243.749988398</v>
      </c>
      <c r="N39" s="11"/>
      <c r="O39" s="11"/>
    </row>
    <row r="40" spans="1:15">
      <c r="E40" s="29"/>
      <c r="I40" s="4"/>
      <c r="J40" s="4"/>
    </row>
    <row r="41" spans="1:15">
      <c r="B41" s="4" t="s">
        <v>16</v>
      </c>
      <c r="C41" s="207">
        <v>1873360</v>
      </c>
      <c r="D41" s="207">
        <v>2068254</v>
      </c>
      <c r="E41" s="238">
        <v>2327501</v>
      </c>
      <c r="F41" s="4">
        <f>Calcs!F17</f>
        <v>2581309.2927703229</v>
      </c>
      <c r="G41" s="4">
        <f>Calcs!G17</f>
        <v>2863863.2540145903</v>
      </c>
      <c r="H41" s="4">
        <f>Calcs!H17</f>
        <v>3180639.8257524711</v>
      </c>
      <c r="I41" s="4">
        <f>Calcs!I17</f>
        <v>3537879.3934967732</v>
      </c>
      <c r="J41" s="4">
        <f>Calcs!J17</f>
        <v>3942703.5735211372</v>
      </c>
      <c r="K41" s="4">
        <f>Calcs!K17</f>
        <v>4403252.6985994643</v>
      </c>
      <c r="L41" s="4">
        <f>Calcs!L17</f>
        <v>4928846.504319041</v>
      </c>
      <c r="M41" s="4">
        <f>Calcs!M17</f>
        <v>5530172.1682704976</v>
      </c>
    </row>
    <row r="42" spans="1:15" s="11" customFormat="1">
      <c r="A42" s="11" t="s">
        <v>125</v>
      </c>
      <c r="B42" s="18" t="s">
        <v>82</v>
      </c>
      <c r="C42" s="19">
        <f>SUM(C41,C39,C35)</f>
        <v>3303686</v>
      </c>
      <c r="D42" s="19">
        <f>SUM(D41,D39,D35)</f>
        <v>3587558</v>
      </c>
      <c r="E42" s="19">
        <f t="shared" ref="E42:F42" si="15">SUM(E41,E39,E35)</f>
        <v>3859345</v>
      </c>
      <c r="F42" s="19">
        <f t="shared" si="15"/>
        <v>4248407.5272993129</v>
      </c>
      <c r="G42" s="19">
        <f t="shared" ref="G42" si="16">SUM(G41,G39,G35)</f>
        <v>4682559.8870253768</v>
      </c>
      <c r="H42" s="19">
        <f t="shared" ref="H42" si="17">SUM(H41,H39,H35)</f>
        <v>5169527.6984488647</v>
      </c>
      <c r="I42" s="19">
        <f t="shared" ref="I42" si="18">SUM(I41,I39,I35)</f>
        <v>5718143.0458051693</v>
      </c>
      <c r="J42" s="19">
        <f t="shared" ref="J42" si="19">SUM(J41,J39,J35)</f>
        <v>6338519.102251539</v>
      </c>
      <c r="K42" s="19">
        <f t="shared" ref="K42" si="20">SUM(K41,K39,K35)</f>
        <v>7042254.4869656777</v>
      </c>
      <c r="L42" s="19">
        <f t="shared" ref="L42" si="21">SUM(L41,L39,L35)</f>
        <v>7842672.7115737395</v>
      </c>
      <c r="M42" s="19">
        <f t="shared" ref="M42" si="22">SUM(M41,M39,M35)</f>
        <v>8755103.0754803643</v>
      </c>
    </row>
    <row r="43" spans="1:15">
      <c r="E43" s="29"/>
      <c r="H43" s="6"/>
      <c r="K43" s="6"/>
      <c r="L43" s="6"/>
      <c r="M43" s="6"/>
      <c r="N43" s="6"/>
      <c r="O43" s="6"/>
    </row>
    <row r="44" spans="1:15">
      <c r="A44" s="4" t="s">
        <v>125</v>
      </c>
      <c r="B44" s="11" t="s">
        <v>83</v>
      </c>
      <c r="C44" s="48">
        <f>C42-C30</f>
        <v>0</v>
      </c>
      <c r="D44" s="48">
        <f t="shared" ref="D44:J44" si="23">D42-D30</f>
        <v>0</v>
      </c>
      <c r="E44" s="158">
        <f t="shared" si="23"/>
        <v>0</v>
      </c>
      <c r="F44" s="48">
        <f t="shared" si="23"/>
        <v>0</v>
      </c>
      <c r="G44" s="48">
        <f t="shared" si="23"/>
        <v>0</v>
      </c>
      <c r="H44" s="48">
        <f t="shared" si="23"/>
        <v>0</v>
      </c>
      <c r="I44" s="48">
        <f t="shared" si="23"/>
        <v>0</v>
      </c>
      <c r="J44" s="48">
        <f t="shared" si="23"/>
        <v>0</v>
      </c>
      <c r="K44" s="48">
        <f t="shared" ref="K44:M44" si="24">K42-K30</f>
        <v>0</v>
      </c>
      <c r="L44" s="48">
        <f t="shared" si="24"/>
        <v>0</v>
      </c>
      <c r="M44" s="48">
        <f t="shared" si="24"/>
        <v>0</v>
      </c>
      <c r="N44" s="48"/>
      <c r="O44" s="48"/>
    </row>
    <row r="45" spans="1:15">
      <c r="I45" s="4"/>
      <c r="J45" s="4"/>
    </row>
    <row r="46" spans="1:15">
      <c r="H46" s="6"/>
    </row>
    <row r="47" spans="1:15">
      <c r="H47" s="6"/>
    </row>
    <row r="48" spans="1:15">
      <c r="H48" s="6"/>
    </row>
    <row r="49" spans="8:8">
      <c r="H49" s="6"/>
    </row>
    <row r="50" spans="8:8">
      <c r="H50" s="6"/>
    </row>
    <row r="51" spans="8:8">
      <c r="H51" s="6"/>
    </row>
    <row r="52" spans="8:8">
      <c r="H52" s="6"/>
    </row>
    <row r="53" spans="8:8">
      <c r="H53" s="6"/>
    </row>
    <row r="54" spans="8:8">
      <c r="H54" s="6"/>
    </row>
    <row r="55" spans="8:8">
      <c r="H55" s="6"/>
    </row>
    <row r="56" spans="8:8">
      <c r="H56" s="6"/>
    </row>
    <row r="57" spans="8:8">
      <c r="H57" s="6"/>
    </row>
  </sheetData>
  <conditionalFormatting sqref="F4:O15">
    <cfRule type="expression" dxfId="0" priority="30">
      <formula>$E$14&gt;1</formula>
    </cfRule>
  </conditionalFormatting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&amp;L&amp;8&amp;F &amp;A</oddHeader>
    <oddFooter>&amp;R&amp;8&amp;P of &amp;N&amp;L&amp;8© AMT Training 2008 - 2017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1">
    <pageSetUpPr autoPageBreaks="0" fitToPage="1"/>
  </sheetPr>
  <dimension ref="A1:O23"/>
  <sheetViews>
    <sheetView showGridLines="0" zoomScaleNormal="100" workbookViewId="0">
      <selection activeCell="F6" sqref="F6"/>
    </sheetView>
  </sheetViews>
  <sheetFormatPr defaultColWidth="8.85546875" defaultRowHeight="15"/>
  <cols>
    <col min="1" max="1" width="1.7109375" style="4" customWidth="1"/>
    <col min="2" max="2" width="40.7109375" style="4" customWidth="1"/>
    <col min="3" max="8" width="11.7109375" style="4" customWidth="1"/>
    <col min="9" max="10" width="11.7109375" style="6" customWidth="1"/>
    <col min="11" max="13" width="11.7109375" style="4" customWidth="1"/>
    <col min="14" max="256" width="8.85546875" style="4"/>
    <col min="257" max="257" width="1.7109375" style="4" customWidth="1"/>
    <col min="258" max="258" width="40.7109375" style="4" customWidth="1"/>
    <col min="259" max="264" width="10.7109375" style="4" customWidth="1"/>
    <col min="265" max="266" width="9.42578125" style="4" bestFit="1" customWidth="1"/>
    <col min="267" max="512" width="8.85546875" style="4"/>
    <col min="513" max="513" width="1.7109375" style="4" customWidth="1"/>
    <col min="514" max="514" width="40.7109375" style="4" customWidth="1"/>
    <col min="515" max="520" width="10.7109375" style="4" customWidth="1"/>
    <col min="521" max="522" width="9.42578125" style="4" bestFit="1" customWidth="1"/>
    <col min="523" max="768" width="8.85546875" style="4"/>
    <col min="769" max="769" width="1.7109375" style="4" customWidth="1"/>
    <col min="770" max="770" width="40.7109375" style="4" customWidth="1"/>
    <col min="771" max="776" width="10.7109375" style="4" customWidth="1"/>
    <col min="777" max="778" width="9.42578125" style="4" bestFit="1" customWidth="1"/>
    <col min="779" max="1024" width="8.85546875" style="4"/>
    <col min="1025" max="1025" width="1.7109375" style="4" customWidth="1"/>
    <col min="1026" max="1026" width="40.7109375" style="4" customWidth="1"/>
    <col min="1027" max="1032" width="10.7109375" style="4" customWidth="1"/>
    <col min="1033" max="1034" width="9.42578125" style="4" bestFit="1" customWidth="1"/>
    <col min="1035" max="1280" width="8.85546875" style="4"/>
    <col min="1281" max="1281" width="1.7109375" style="4" customWidth="1"/>
    <col min="1282" max="1282" width="40.7109375" style="4" customWidth="1"/>
    <col min="1283" max="1288" width="10.7109375" style="4" customWidth="1"/>
    <col min="1289" max="1290" width="9.42578125" style="4" bestFit="1" customWidth="1"/>
    <col min="1291" max="1536" width="8.85546875" style="4"/>
    <col min="1537" max="1537" width="1.7109375" style="4" customWidth="1"/>
    <col min="1538" max="1538" width="40.7109375" style="4" customWidth="1"/>
    <col min="1539" max="1544" width="10.7109375" style="4" customWidth="1"/>
    <col min="1545" max="1546" width="9.42578125" style="4" bestFit="1" customWidth="1"/>
    <col min="1547" max="1792" width="8.85546875" style="4"/>
    <col min="1793" max="1793" width="1.7109375" style="4" customWidth="1"/>
    <col min="1794" max="1794" width="40.7109375" style="4" customWidth="1"/>
    <col min="1795" max="1800" width="10.7109375" style="4" customWidth="1"/>
    <col min="1801" max="1802" width="9.42578125" style="4" bestFit="1" customWidth="1"/>
    <col min="1803" max="2048" width="8.85546875" style="4"/>
    <col min="2049" max="2049" width="1.7109375" style="4" customWidth="1"/>
    <col min="2050" max="2050" width="40.7109375" style="4" customWidth="1"/>
    <col min="2051" max="2056" width="10.7109375" style="4" customWidth="1"/>
    <col min="2057" max="2058" width="9.42578125" style="4" bestFit="1" customWidth="1"/>
    <col min="2059" max="2304" width="8.85546875" style="4"/>
    <col min="2305" max="2305" width="1.7109375" style="4" customWidth="1"/>
    <col min="2306" max="2306" width="40.7109375" style="4" customWidth="1"/>
    <col min="2307" max="2312" width="10.7109375" style="4" customWidth="1"/>
    <col min="2313" max="2314" width="9.42578125" style="4" bestFit="1" customWidth="1"/>
    <col min="2315" max="2560" width="8.85546875" style="4"/>
    <col min="2561" max="2561" width="1.7109375" style="4" customWidth="1"/>
    <col min="2562" max="2562" width="40.7109375" style="4" customWidth="1"/>
    <col min="2563" max="2568" width="10.7109375" style="4" customWidth="1"/>
    <col min="2569" max="2570" width="9.42578125" style="4" bestFit="1" customWidth="1"/>
    <col min="2571" max="2816" width="8.85546875" style="4"/>
    <col min="2817" max="2817" width="1.7109375" style="4" customWidth="1"/>
    <col min="2818" max="2818" width="40.7109375" style="4" customWidth="1"/>
    <col min="2819" max="2824" width="10.7109375" style="4" customWidth="1"/>
    <col min="2825" max="2826" width="9.42578125" style="4" bestFit="1" customWidth="1"/>
    <col min="2827" max="3072" width="8.85546875" style="4"/>
    <col min="3073" max="3073" width="1.7109375" style="4" customWidth="1"/>
    <col min="3074" max="3074" width="40.7109375" style="4" customWidth="1"/>
    <col min="3075" max="3080" width="10.7109375" style="4" customWidth="1"/>
    <col min="3081" max="3082" width="9.42578125" style="4" bestFit="1" customWidth="1"/>
    <col min="3083" max="3328" width="8.85546875" style="4"/>
    <col min="3329" max="3329" width="1.7109375" style="4" customWidth="1"/>
    <col min="3330" max="3330" width="40.7109375" style="4" customWidth="1"/>
    <col min="3331" max="3336" width="10.7109375" style="4" customWidth="1"/>
    <col min="3337" max="3338" width="9.42578125" style="4" bestFit="1" customWidth="1"/>
    <col min="3339" max="3584" width="8.85546875" style="4"/>
    <col min="3585" max="3585" width="1.7109375" style="4" customWidth="1"/>
    <col min="3586" max="3586" width="40.7109375" style="4" customWidth="1"/>
    <col min="3587" max="3592" width="10.7109375" style="4" customWidth="1"/>
    <col min="3593" max="3594" width="9.42578125" style="4" bestFit="1" customWidth="1"/>
    <col min="3595" max="3840" width="8.85546875" style="4"/>
    <col min="3841" max="3841" width="1.7109375" style="4" customWidth="1"/>
    <col min="3842" max="3842" width="40.7109375" style="4" customWidth="1"/>
    <col min="3843" max="3848" width="10.7109375" style="4" customWidth="1"/>
    <col min="3849" max="3850" width="9.42578125" style="4" bestFit="1" customWidth="1"/>
    <col min="3851" max="4096" width="8.85546875" style="4"/>
    <col min="4097" max="4097" width="1.7109375" style="4" customWidth="1"/>
    <col min="4098" max="4098" width="40.7109375" style="4" customWidth="1"/>
    <col min="4099" max="4104" width="10.7109375" style="4" customWidth="1"/>
    <col min="4105" max="4106" width="9.42578125" style="4" bestFit="1" customWidth="1"/>
    <col min="4107" max="4352" width="8.85546875" style="4"/>
    <col min="4353" max="4353" width="1.7109375" style="4" customWidth="1"/>
    <col min="4354" max="4354" width="40.7109375" style="4" customWidth="1"/>
    <col min="4355" max="4360" width="10.7109375" style="4" customWidth="1"/>
    <col min="4361" max="4362" width="9.42578125" style="4" bestFit="1" customWidth="1"/>
    <col min="4363" max="4608" width="8.85546875" style="4"/>
    <col min="4609" max="4609" width="1.7109375" style="4" customWidth="1"/>
    <col min="4610" max="4610" width="40.7109375" style="4" customWidth="1"/>
    <col min="4611" max="4616" width="10.7109375" style="4" customWidth="1"/>
    <col min="4617" max="4618" width="9.42578125" style="4" bestFit="1" customWidth="1"/>
    <col min="4619" max="4864" width="8.85546875" style="4"/>
    <col min="4865" max="4865" width="1.7109375" style="4" customWidth="1"/>
    <col min="4866" max="4866" width="40.7109375" style="4" customWidth="1"/>
    <col min="4867" max="4872" width="10.7109375" style="4" customWidth="1"/>
    <col min="4873" max="4874" width="9.42578125" style="4" bestFit="1" customWidth="1"/>
    <col min="4875" max="5120" width="8.85546875" style="4"/>
    <col min="5121" max="5121" width="1.7109375" style="4" customWidth="1"/>
    <col min="5122" max="5122" width="40.7109375" style="4" customWidth="1"/>
    <col min="5123" max="5128" width="10.7109375" style="4" customWidth="1"/>
    <col min="5129" max="5130" width="9.42578125" style="4" bestFit="1" customWidth="1"/>
    <col min="5131" max="5376" width="8.85546875" style="4"/>
    <col min="5377" max="5377" width="1.7109375" style="4" customWidth="1"/>
    <col min="5378" max="5378" width="40.7109375" style="4" customWidth="1"/>
    <col min="5379" max="5384" width="10.7109375" style="4" customWidth="1"/>
    <col min="5385" max="5386" width="9.42578125" style="4" bestFit="1" customWidth="1"/>
    <col min="5387" max="5632" width="8.85546875" style="4"/>
    <col min="5633" max="5633" width="1.7109375" style="4" customWidth="1"/>
    <col min="5634" max="5634" width="40.7109375" style="4" customWidth="1"/>
    <col min="5635" max="5640" width="10.7109375" style="4" customWidth="1"/>
    <col min="5641" max="5642" width="9.42578125" style="4" bestFit="1" customWidth="1"/>
    <col min="5643" max="5888" width="8.85546875" style="4"/>
    <col min="5889" max="5889" width="1.7109375" style="4" customWidth="1"/>
    <col min="5890" max="5890" width="40.7109375" style="4" customWidth="1"/>
    <col min="5891" max="5896" width="10.7109375" style="4" customWidth="1"/>
    <col min="5897" max="5898" width="9.42578125" style="4" bestFit="1" customWidth="1"/>
    <col min="5899" max="6144" width="8.85546875" style="4"/>
    <col min="6145" max="6145" width="1.7109375" style="4" customWidth="1"/>
    <col min="6146" max="6146" width="40.7109375" style="4" customWidth="1"/>
    <col min="6147" max="6152" width="10.7109375" style="4" customWidth="1"/>
    <col min="6153" max="6154" width="9.42578125" style="4" bestFit="1" customWidth="1"/>
    <col min="6155" max="6400" width="8.85546875" style="4"/>
    <col min="6401" max="6401" width="1.7109375" style="4" customWidth="1"/>
    <col min="6402" max="6402" width="40.7109375" style="4" customWidth="1"/>
    <col min="6403" max="6408" width="10.7109375" style="4" customWidth="1"/>
    <col min="6409" max="6410" width="9.42578125" style="4" bestFit="1" customWidth="1"/>
    <col min="6411" max="6656" width="8.85546875" style="4"/>
    <col min="6657" max="6657" width="1.7109375" style="4" customWidth="1"/>
    <col min="6658" max="6658" width="40.7109375" style="4" customWidth="1"/>
    <col min="6659" max="6664" width="10.7109375" style="4" customWidth="1"/>
    <col min="6665" max="6666" width="9.42578125" style="4" bestFit="1" customWidth="1"/>
    <col min="6667" max="6912" width="8.85546875" style="4"/>
    <col min="6913" max="6913" width="1.7109375" style="4" customWidth="1"/>
    <col min="6914" max="6914" width="40.7109375" style="4" customWidth="1"/>
    <col min="6915" max="6920" width="10.7109375" style="4" customWidth="1"/>
    <col min="6921" max="6922" width="9.42578125" style="4" bestFit="1" customWidth="1"/>
    <col min="6923" max="7168" width="8.85546875" style="4"/>
    <col min="7169" max="7169" width="1.7109375" style="4" customWidth="1"/>
    <col min="7170" max="7170" width="40.7109375" style="4" customWidth="1"/>
    <col min="7171" max="7176" width="10.7109375" style="4" customWidth="1"/>
    <col min="7177" max="7178" width="9.42578125" style="4" bestFit="1" customWidth="1"/>
    <col min="7179" max="7424" width="8.85546875" style="4"/>
    <col min="7425" max="7425" width="1.7109375" style="4" customWidth="1"/>
    <col min="7426" max="7426" width="40.7109375" style="4" customWidth="1"/>
    <col min="7427" max="7432" width="10.7109375" style="4" customWidth="1"/>
    <col min="7433" max="7434" width="9.42578125" style="4" bestFit="1" customWidth="1"/>
    <col min="7435" max="7680" width="8.85546875" style="4"/>
    <col min="7681" max="7681" width="1.7109375" style="4" customWidth="1"/>
    <col min="7682" max="7682" width="40.7109375" style="4" customWidth="1"/>
    <col min="7683" max="7688" width="10.7109375" style="4" customWidth="1"/>
    <col min="7689" max="7690" width="9.42578125" style="4" bestFit="1" customWidth="1"/>
    <col min="7691" max="7936" width="8.85546875" style="4"/>
    <col min="7937" max="7937" width="1.7109375" style="4" customWidth="1"/>
    <col min="7938" max="7938" width="40.7109375" style="4" customWidth="1"/>
    <col min="7939" max="7944" width="10.7109375" style="4" customWidth="1"/>
    <col min="7945" max="7946" width="9.42578125" style="4" bestFit="1" customWidth="1"/>
    <col min="7947" max="8192" width="8.85546875" style="4"/>
    <col min="8193" max="8193" width="1.7109375" style="4" customWidth="1"/>
    <col min="8194" max="8194" width="40.7109375" style="4" customWidth="1"/>
    <col min="8195" max="8200" width="10.7109375" style="4" customWidth="1"/>
    <col min="8201" max="8202" width="9.42578125" style="4" bestFit="1" customWidth="1"/>
    <col min="8203" max="8448" width="8.85546875" style="4"/>
    <col min="8449" max="8449" width="1.7109375" style="4" customWidth="1"/>
    <col min="8450" max="8450" width="40.7109375" style="4" customWidth="1"/>
    <col min="8451" max="8456" width="10.7109375" style="4" customWidth="1"/>
    <col min="8457" max="8458" width="9.42578125" style="4" bestFit="1" customWidth="1"/>
    <col min="8459" max="8704" width="8.85546875" style="4"/>
    <col min="8705" max="8705" width="1.7109375" style="4" customWidth="1"/>
    <col min="8706" max="8706" width="40.7109375" style="4" customWidth="1"/>
    <col min="8707" max="8712" width="10.7109375" style="4" customWidth="1"/>
    <col min="8713" max="8714" width="9.42578125" style="4" bestFit="1" customWidth="1"/>
    <col min="8715" max="8960" width="8.85546875" style="4"/>
    <col min="8961" max="8961" width="1.7109375" style="4" customWidth="1"/>
    <col min="8962" max="8962" width="40.7109375" style="4" customWidth="1"/>
    <col min="8963" max="8968" width="10.7109375" style="4" customWidth="1"/>
    <col min="8969" max="8970" width="9.42578125" style="4" bestFit="1" customWidth="1"/>
    <col min="8971" max="9216" width="8.85546875" style="4"/>
    <col min="9217" max="9217" width="1.7109375" style="4" customWidth="1"/>
    <col min="9218" max="9218" width="40.7109375" style="4" customWidth="1"/>
    <col min="9219" max="9224" width="10.7109375" style="4" customWidth="1"/>
    <col min="9225" max="9226" width="9.42578125" style="4" bestFit="1" customWidth="1"/>
    <col min="9227" max="9472" width="8.85546875" style="4"/>
    <col min="9473" max="9473" width="1.7109375" style="4" customWidth="1"/>
    <col min="9474" max="9474" width="40.7109375" style="4" customWidth="1"/>
    <col min="9475" max="9480" width="10.7109375" style="4" customWidth="1"/>
    <col min="9481" max="9482" width="9.42578125" style="4" bestFit="1" customWidth="1"/>
    <col min="9483" max="9728" width="8.85546875" style="4"/>
    <col min="9729" max="9729" width="1.7109375" style="4" customWidth="1"/>
    <col min="9730" max="9730" width="40.7109375" style="4" customWidth="1"/>
    <col min="9731" max="9736" width="10.7109375" style="4" customWidth="1"/>
    <col min="9737" max="9738" width="9.42578125" style="4" bestFit="1" customWidth="1"/>
    <col min="9739" max="9984" width="8.85546875" style="4"/>
    <col min="9985" max="9985" width="1.7109375" style="4" customWidth="1"/>
    <col min="9986" max="9986" width="40.7109375" style="4" customWidth="1"/>
    <col min="9987" max="9992" width="10.7109375" style="4" customWidth="1"/>
    <col min="9993" max="9994" width="9.42578125" style="4" bestFit="1" customWidth="1"/>
    <col min="9995" max="10240" width="8.85546875" style="4"/>
    <col min="10241" max="10241" width="1.7109375" style="4" customWidth="1"/>
    <col min="10242" max="10242" width="40.7109375" style="4" customWidth="1"/>
    <col min="10243" max="10248" width="10.7109375" style="4" customWidth="1"/>
    <col min="10249" max="10250" width="9.42578125" style="4" bestFit="1" customWidth="1"/>
    <col min="10251" max="10496" width="8.85546875" style="4"/>
    <col min="10497" max="10497" width="1.7109375" style="4" customWidth="1"/>
    <col min="10498" max="10498" width="40.7109375" style="4" customWidth="1"/>
    <col min="10499" max="10504" width="10.7109375" style="4" customWidth="1"/>
    <col min="10505" max="10506" width="9.42578125" style="4" bestFit="1" customWidth="1"/>
    <col min="10507" max="10752" width="8.85546875" style="4"/>
    <col min="10753" max="10753" width="1.7109375" style="4" customWidth="1"/>
    <col min="10754" max="10754" width="40.7109375" style="4" customWidth="1"/>
    <col min="10755" max="10760" width="10.7109375" style="4" customWidth="1"/>
    <col min="10761" max="10762" width="9.42578125" style="4" bestFit="1" customWidth="1"/>
    <col min="10763" max="11008" width="8.85546875" style="4"/>
    <col min="11009" max="11009" width="1.7109375" style="4" customWidth="1"/>
    <col min="11010" max="11010" width="40.7109375" style="4" customWidth="1"/>
    <col min="11011" max="11016" width="10.7109375" style="4" customWidth="1"/>
    <col min="11017" max="11018" width="9.42578125" style="4" bestFit="1" customWidth="1"/>
    <col min="11019" max="11264" width="8.85546875" style="4"/>
    <col min="11265" max="11265" width="1.7109375" style="4" customWidth="1"/>
    <col min="11266" max="11266" width="40.7109375" style="4" customWidth="1"/>
    <col min="11267" max="11272" width="10.7109375" style="4" customWidth="1"/>
    <col min="11273" max="11274" width="9.42578125" style="4" bestFit="1" customWidth="1"/>
    <col min="11275" max="11520" width="8.85546875" style="4"/>
    <col min="11521" max="11521" width="1.7109375" style="4" customWidth="1"/>
    <col min="11522" max="11522" width="40.7109375" style="4" customWidth="1"/>
    <col min="11523" max="11528" width="10.7109375" style="4" customWidth="1"/>
    <col min="11529" max="11530" width="9.42578125" style="4" bestFit="1" customWidth="1"/>
    <col min="11531" max="11776" width="8.85546875" style="4"/>
    <col min="11777" max="11777" width="1.7109375" style="4" customWidth="1"/>
    <col min="11778" max="11778" width="40.7109375" style="4" customWidth="1"/>
    <col min="11779" max="11784" width="10.7109375" style="4" customWidth="1"/>
    <col min="11785" max="11786" width="9.42578125" style="4" bestFit="1" customWidth="1"/>
    <col min="11787" max="12032" width="8.85546875" style="4"/>
    <col min="12033" max="12033" width="1.7109375" style="4" customWidth="1"/>
    <col min="12034" max="12034" width="40.7109375" style="4" customWidth="1"/>
    <col min="12035" max="12040" width="10.7109375" style="4" customWidth="1"/>
    <col min="12041" max="12042" width="9.42578125" style="4" bestFit="1" customWidth="1"/>
    <col min="12043" max="12288" width="8.85546875" style="4"/>
    <col min="12289" max="12289" width="1.7109375" style="4" customWidth="1"/>
    <col min="12290" max="12290" width="40.7109375" style="4" customWidth="1"/>
    <col min="12291" max="12296" width="10.7109375" style="4" customWidth="1"/>
    <col min="12297" max="12298" width="9.42578125" style="4" bestFit="1" customWidth="1"/>
    <col min="12299" max="12544" width="8.85546875" style="4"/>
    <col min="12545" max="12545" width="1.7109375" style="4" customWidth="1"/>
    <col min="12546" max="12546" width="40.7109375" style="4" customWidth="1"/>
    <col min="12547" max="12552" width="10.7109375" style="4" customWidth="1"/>
    <col min="12553" max="12554" width="9.42578125" style="4" bestFit="1" customWidth="1"/>
    <col min="12555" max="12800" width="8.85546875" style="4"/>
    <col min="12801" max="12801" width="1.7109375" style="4" customWidth="1"/>
    <col min="12802" max="12802" width="40.7109375" style="4" customWidth="1"/>
    <col min="12803" max="12808" width="10.7109375" style="4" customWidth="1"/>
    <col min="12809" max="12810" width="9.42578125" style="4" bestFit="1" customWidth="1"/>
    <col min="12811" max="13056" width="8.85546875" style="4"/>
    <col min="13057" max="13057" width="1.7109375" style="4" customWidth="1"/>
    <col min="13058" max="13058" width="40.7109375" style="4" customWidth="1"/>
    <col min="13059" max="13064" width="10.7109375" style="4" customWidth="1"/>
    <col min="13065" max="13066" width="9.42578125" style="4" bestFit="1" customWidth="1"/>
    <col min="13067" max="13312" width="8.85546875" style="4"/>
    <col min="13313" max="13313" width="1.7109375" style="4" customWidth="1"/>
    <col min="13314" max="13314" width="40.7109375" style="4" customWidth="1"/>
    <col min="13315" max="13320" width="10.7109375" style="4" customWidth="1"/>
    <col min="13321" max="13322" width="9.42578125" style="4" bestFit="1" customWidth="1"/>
    <col min="13323" max="13568" width="8.85546875" style="4"/>
    <col min="13569" max="13569" width="1.7109375" style="4" customWidth="1"/>
    <col min="13570" max="13570" width="40.7109375" style="4" customWidth="1"/>
    <col min="13571" max="13576" width="10.7109375" style="4" customWidth="1"/>
    <col min="13577" max="13578" width="9.42578125" style="4" bestFit="1" customWidth="1"/>
    <col min="13579" max="13824" width="8.85546875" style="4"/>
    <col min="13825" max="13825" width="1.7109375" style="4" customWidth="1"/>
    <col min="13826" max="13826" width="40.7109375" style="4" customWidth="1"/>
    <col min="13827" max="13832" width="10.7109375" style="4" customWidth="1"/>
    <col min="13833" max="13834" width="9.42578125" style="4" bestFit="1" customWidth="1"/>
    <col min="13835" max="14080" width="8.85546875" style="4"/>
    <col min="14081" max="14081" width="1.7109375" style="4" customWidth="1"/>
    <col min="14082" max="14082" width="40.7109375" style="4" customWidth="1"/>
    <col min="14083" max="14088" width="10.7109375" style="4" customWidth="1"/>
    <col min="14089" max="14090" width="9.42578125" style="4" bestFit="1" customWidth="1"/>
    <col min="14091" max="14336" width="8.85546875" style="4"/>
    <col min="14337" max="14337" width="1.7109375" style="4" customWidth="1"/>
    <col min="14338" max="14338" width="40.7109375" style="4" customWidth="1"/>
    <col min="14339" max="14344" width="10.7109375" style="4" customWidth="1"/>
    <col min="14345" max="14346" width="9.42578125" style="4" bestFit="1" customWidth="1"/>
    <col min="14347" max="14592" width="8.85546875" style="4"/>
    <col min="14593" max="14593" width="1.7109375" style="4" customWidth="1"/>
    <col min="14594" max="14594" width="40.7109375" style="4" customWidth="1"/>
    <col min="14595" max="14600" width="10.7109375" style="4" customWidth="1"/>
    <col min="14601" max="14602" width="9.42578125" style="4" bestFit="1" customWidth="1"/>
    <col min="14603" max="14848" width="8.85546875" style="4"/>
    <col min="14849" max="14849" width="1.7109375" style="4" customWidth="1"/>
    <col min="14850" max="14850" width="40.7109375" style="4" customWidth="1"/>
    <col min="14851" max="14856" width="10.7109375" style="4" customWidth="1"/>
    <col min="14857" max="14858" width="9.42578125" style="4" bestFit="1" customWidth="1"/>
    <col min="14859" max="15104" width="8.85546875" style="4"/>
    <col min="15105" max="15105" width="1.7109375" style="4" customWidth="1"/>
    <col min="15106" max="15106" width="40.7109375" style="4" customWidth="1"/>
    <col min="15107" max="15112" width="10.7109375" style="4" customWidth="1"/>
    <col min="15113" max="15114" width="9.42578125" style="4" bestFit="1" customWidth="1"/>
    <col min="15115" max="15360" width="8.85546875" style="4"/>
    <col min="15361" max="15361" width="1.7109375" style="4" customWidth="1"/>
    <col min="15362" max="15362" width="40.7109375" style="4" customWidth="1"/>
    <col min="15363" max="15368" width="10.7109375" style="4" customWidth="1"/>
    <col min="15369" max="15370" width="9.42578125" style="4" bestFit="1" customWidth="1"/>
    <col min="15371" max="15616" width="8.85546875" style="4"/>
    <col min="15617" max="15617" width="1.7109375" style="4" customWidth="1"/>
    <col min="15618" max="15618" width="40.7109375" style="4" customWidth="1"/>
    <col min="15619" max="15624" width="10.7109375" style="4" customWidth="1"/>
    <col min="15625" max="15626" width="9.42578125" style="4" bestFit="1" customWidth="1"/>
    <col min="15627" max="15872" width="8.85546875" style="4"/>
    <col min="15873" max="15873" width="1.7109375" style="4" customWidth="1"/>
    <col min="15874" max="15874" width="40.7109375" style="4" customWidth="1"/>
    <col min="15875" max="15880" width="10.7109375" style="4" customWidth="1"/>
    <col min="15881" max="15882" width="9.42578125" style="4" bestFit="1" customWidth="1"/>
    <col min="15883" max="16128" width="8.85546875" style="4"/>
    <col min="16129" max="16129" width="1.7109375" style="4" customWidth="1"/>
    <col min="16130" max="16130" width="40.7109375" style="4" customWidth="1"/>
    <col min="16131" max="16136" width="10.7109375" style="4" customWidth="1"/>
    <col min="16137" max="16138" width="9.42578125" style="4" bestFit="1" customWidth="1"/>
    <col min="16139" max="16384" width="8.85546875" style="4"/>
  </cols>
  <sheetData>
    <row r="1" spans="1:15" s="2" customFormat="1" ht="19.5">
      <c r="A1" s="293" t="str">
        <f>CoName</f>
        <v>Fast Retailing</v>
      </c>
      <c r="B1" s="3"/>
      <c r="C1" s="43" t="s">
        <v>0</v>
      </c>
      <c r="D1" s="43" t="s">
        <v>0</v>
      </c>
      <c r="E1" s="43" t="s">
        <v>0</v>
      </c>
      <c r="F1" s="43" t="s">
        <v>1</v>
      </c>
      <c r="G1" s="43" t="s">
        <v>1</v>
      </c>
      <c r="H1" s="43" t="s">
        <v>1</v>
      </c>
      <c r="I1" s="43" t="s">
        <v>1</v>
      </c>
      <c r="J1" s="43" t="s">
        <v>1</v>
      </c>
      <c r="K1" s="43" t="s">
        <v>1</v>
      </c>
      <c r="L1" s="43" t="s">
        <v>1</v>
      </c>
      <c r="M1" s="43" t="s">
        <v>1</v>
      </c>
      <c r="N1" s="43"/>
      <c r="O1" s="43"/>
    </row>
    <row r="2" spans="1:15" s="2" customFormat="1">
      <c r="A2" s="195" t="s">
        <v>84</v>
      </c>
      <c r="B2" s="196"/>
      <c r="C2" s="200">
        <v>2023</v>
      </c>
      <c r="D2" s="200">
        <f>C2+1</f>
        <v>2024</v>
      </c>
      <c r="E2" s="200">
        <f t="shared" ref="E2:M2" si="0">D2+1</f>
        <v>2025</v>
      </c>
      <c r="F2" s="200">
        <f t="shared" si="0"/>
        <v>2026</v>
      </c>
      <c r="G2" s="200">
        <f t="shared" si="0"/>
        <v>2027</v>
      </c>
      <c r="H2" s="200">
        <f t="shared" si="0"/>
        <v>2028</v>
      </c>
      <c r="I2" s="200">
        <f t="shared" si="0"/>
        <v>2029</v>
      </c>
      <c r="J2" s="200">
        <f t="shared" si="0"/>
        <v>2030</v>
      </c>
      <c r="K2" s="200">
        <f t="shared" si="0"/>
        <v>2031</v>
      </c>
      <c r="L2" s="200">
        <f t="shared" si="0"/>
        <v>2032</v>
      </c>
      <c r="M2" s="200">
        <f t="shared" si="0"/>
        <v>2033</v>
      </c>
      <c r="N2" s="225"/>
      <c r="O2" s="225"/>
    </row>
    <row r="3" spans="1:15">
      <c r="B3" s="4" t="s">
        <v>158</v>
      </c>
      <c r="F3" s="4">
        <f>IncState!F34</f>
        <v>428830.05782032304</v>
      </c>
      <c r="G3" s="4">
        <f>IncState!G34</f>
        <v>473486.7958442677</v>
      </c>
      <c r="H3" s="4">
        <f>IncState!H34</f>
        <v>523620.47588788066</v>
      </c>
      <c r="I3" s="4">
        <f>IncState!I34</f>
        <v>579994.54144430207</v>
      </c>
      <c r="J3" s="4">
        <f>IncState!J34</f>
        <v>643490.2232743639</v>
      </c>
      <c r="K3" s="4">
        <f>IncState!K34</f>
        <v>715126.23787832703</v>
      </c>
      <c r="L3" s="4">
        <f>IncState!L34</f>
        <v>796081.98806957726</v>
      </c>
      <c r="M3" s="4">
        <f>IncState!M34</f>
        <v>887724.91585145565</v>
      </c>
    </row>
    <row r="4" spans="1:15">
      <c r="B4" s="4" t="s">
        <v>14</v>
      </c>
      <c r="F4" s="4">
        <f>Calcs!F8</f>
        <v>256899.99999999997</v>
      </c>
      <c r="G4" s="4">
        <f>Calcs!G8</f>
        <v>215473.848045766</v>
      </c>
      <c r="H4" s="4">
        <f>Calcs!H8</f>
        <v>198735.29895722176</v>
      </c>
      <c r="I4" s="4">
        <f>Calcs!I8</f>
        <v>192777.53157683407</v>
      </c>
      <c r="J4" s="4">
        <f>Calcs!J8</f>
        <v>194859.71973724785</v>
      </c>
      <c r="K4" s="4">
        <f>Calcs!K8</f>
        <v>203207.01908800993</v>
      </c>
      <c r="L4" s="4">
        <f>Calcs!L8</f>
        <v>216718.98877331329</v>
      </c>
      <c r="M4" s="4">
        <f>Calcs!M8</f>
        <v>234773.08235440252</v>
      </c>
    </row>
    <row r="5" spans="1:15">
      <c r="B5" s="4" t="s">
        <v>53</v>
      </c>
      <c r="F5" s="4">
        <f>IncState!F7</f>
        <v>0</v>
      </c>
      <c r="G5" s="4">
        <f>IncState!G7</f>
        <v>0</v>
      </c>
      <c r="H5" s="4">
        <f>IncState!H7</f>
        <v>0</v>
      </c>
      <c r="I5" s="4">
        <f>IncState!I7</f>
        <v>0</v>
      </c>
      <c r="J5" s="4">
        <f>IncState!J7</f>
        <v>0</v>
      </c>
      <c r="K5" s="4">
        <f>IncState!K7</f>
        <v>0</v>
      </c>
      <c r="L5" s="4">
        <f>IncState!L7</f>
        <v>0</v>
      </c>
      <c r="M5" s="4">
        <f>IncState!M7</f>
        <v>0</v>
      </c>
    </row>
    <row r="6" spans="1:15">
      <c r="B6" s="4" t="s">
        <v>90</v>
      </c>
      <c r="F6" s="4">
        <f>Calcs!F26</f>
        <v>18816.061790776905</v>
      </c>
      <c r="G6" s="4">
        <f>Calcs!G26</f>
        <v>21089.800575559144</v>
      </c>
      <c r="H6" s="4">
        <f>Calcs!H26</f>
        <v>23676.366905074101</v>
      </c>
      <c r="I6" s="4">
        <f>Calcs!I26</f>
        <v>26623.480639829766</v>
      </c>
      <c r="J6" s="4">
        <f>Calcs!J26</f>
        <v>29986.768547383603</v>
      </c>
      <c r="K6" s="4">
        <f>Calcs!K26</f>
        <v>33831.160287958104</v>
      </c>
      <c r="L6" s="4">
        <f>Calcs!L26</f>
        <v>38232.542333539575</v>
      </c>
      <c r="M6" s="4">
        <f>Calcs!M26</f>
        <v>43279.718954032985</v>
      </c>
    </row>
    <row r="7" spans="1:15">
      <c r="B7" s="4" t="s">
        <v>208</v>
      </c>
      <c r="F7" s="4">
        <f>BalSheet!E27-BalSheet!F27</f>
        <v>-4577.591070134411</v>
      </c>
      <c r="G7" s="4">
        <f>BalSheet!F27-BalSheet!G27</f>
        <v>-5130.7486050517109</v>
      </c>
      <c r="H7" s="4">
        <f>BalSheet!G27-BalSheet!H27</f>
        <v>-5760.0111502088403</v>
      </c>
      <c r="I7" s="4">
        <f>BalSheet!H27-BalSheet!I27</f>
        <v>-6476.9880428708057</v>
      </c>
      <c r="J7" s="4">
        <f>BalSheet!I27-BalSheet!J27</f>
        <v>-7295.2122208683868</v>
      </c>
      <c r="K7" s="4">
        <f>BalSheet!J27-BalSheet!K27</f>
        <v>-8230.4798394292302</v>
      </c>
      <c r="L7" s="4">
        <f>BalSheet!K27-BalSheet!L27</f>
        <v>-9301.2526383354852</v>
      </c>
      <c r="M7" s="4">
        <f>BalSheet!L27-BalSheet!M27</f>
        <v>-10529.135012674087</v>
      </c>
    </row>
    <row r="8" spans="1:15">
      <c r="B8" s="4" t="s">
        <v>209</v>
      </c>
      <c r="F8" s="4">
        <f>BalSheet!F38-BalSheet!E38</f>
        <v>41915.296662690525</v>
      </c>
      <c r="G8" s="4">
        <f>BalSheet!G38-BalSheet!F38</f>
        <v>46980.354205408192</v>
      </c>
      <c r="H8" s="4">
        <f>BalSheet!H38-BalSheet!G38</f>
        <v>52742.276984195458</v>
      </c>
      <c r="I8" s="4">
        <f>BalSheet!I38-BalSheet!H38</f>
        <v>59307.367376889219</v>
      </c>
      <c r="J8" s="4">
        <f>BalSheet!J38-BalSheet!I38</f>
        <v>66799.541455328115</v>
      </c>
      <c r="K8" s="4">
        <f>BalSheet!K38-BalSheet!J38</f>
        <v>75363.438730196678</v>
      </c>
      <c r="L8" s="4">
        <f>BalSheet!L38-BalSheet!K38</f>
        <v>85168.106477238704</v>
      </c>
      <c r="M8" s="4">
        <f>BalSheet!M38-BalSheet!L38</f>
        <v>96411.368096451159</v>
      </c>
    </row>
    <row r="9" spans="1:15" s="11" customFormat="1">
      <c r="B9" s="11" t="s">
        <v>210</v>
      </c>
      <c r="F9" s="11">
        <f>SUM(F3:F8)</f>
        <v>741883.82520365599</v>
      </c>
      <c r="G9" s="11">
        <f t="shared" ref="G9:M9" si="1">SUM(G3:G8)</f>
        <v>751900.05006594933</v>
      </c>
      <c r="H9" s="11">
        <f t="shared" si="1"/>
        <v>793014.40758416313</v>
      </c>
      <c r="I9" s="11">
        <f t="shared" si="1"/>
        <v>852225.93299498432</v>
      </c>
      <c r="J9" s="11">
        <f t="shared" si="1"/>
        <v>927841.04079345509</v>
      </c>
      <c r="K9" s="11">
        <f t="shared" si="1"/>
        <v>1019297.3761450625</v>
      </c>
      <c r="L9" s="11">
        <f t="shared" si="1"/>
        <v>1126900.3730153334</v>
      </c>
      <c r="M9" s="11">
        <f t="shared" si="1"/>
        <v>1251659.9502436682</v>
      </c>
    </row>
    <row r="10" spans="1:15">
      <c r="I10" s="4"/>
      <c r="J10" s="4"/>
    </row>
    <row r="11" spans="1:15">
      <c r="B11" s="4" t="s">
        <v>13</v>
      </c>
      <c r="F11" s="4">
        <f>Calcs!F7</f>
        <v>126371.01668673361</v>
      </c>
      <c r="G11" s="4">
        <f>Calcs!G7</f>
        <v>162732.62802898444</v>
      </c>
      <c r="H11" s="4">
        <f>Calcs!H7</f>
        <v>179963.06735245971</v>
      </c>
      <c r="I11" s="4">
        <f>Calcs!I7</f>
        <v>199338.26412920794</v>
      </c>
      <c r="J11" s="4">
        <f>Calcs!J7</f>
        <v>221161.08846853065</v>
      </c>
      <c r="K11" s="4">
        <f>Calcs!K7</f>
        <v>245781.66293933356</v>
      </c>
      <c r="L11" s="4">
        <f>Calcs!L7</f>
        <v>273605.33637290722</v>
      </c>
      <c r="M11" s="4">
        <f>Calcs!M7</f>
        <v>305102.08477034426</v>
      </c>
    </row>
    <row r="12" spans="1:15" s="11" customFormat="1">
      <c r="B12" s="11" t="s">
        <v>211</v>
      </c>
      <c r="F12" s="11">
        <f>-F11</f>
        <v>-126371.01668673361</v>
      </c>
      <c r="G12" s="11">
        <f t="shared" ref="G12:M12" si="2">-G11</f>
        <v>-162732.62802898444</v>
      </c>
      <c r="H12" s="11">
        <f t="shared" si="2"/>
        <v>-179963.06735245971</v>
      </c>
      <c r="I12" s="11">
        <f t="shared" si="2"/>
        <v>-199338.26412920794</v>
      </c>
      <c r="J12" s="11">
        <f t="shared" si="2"/>
        <v>-221161.08846853065</v>
      </c>
      <c r="K12" s="11">
        <f t="shared" si="2"/>
        <v>-245781.66293933356</v>
      </c>
      <c r="L12" s="11">
        <f t="shared" si="2"/>
        <v>-273605.33637290722</v>
      </c>
      <c r="M12" s="11">
        <f t="shared" si="2"/>
        <v>-305102.08477034426</v>
      </c>
    </row>
    <row r="13" spans="1:15">
      <c r="I13" s="4"/>
      <c r="J13" s="4"/>
    </row>
    <row r="14" spans="1:15">
      <c r="B14" s="4" t="s">
        <v>20</v>
      </c>
      <c r="F14" s="4">
        <f>IncState!F36*-1</f>
        <v>-175021.76504999999</v>
      </c>
      <c r="G14" s="4">
        <f>IncState!G36*-1</f>
        <v>-190932.8346</v>
      </c>
      <c r="H14" s="4">
        <f>IncState!H36*-1</f>
        <v>-206843.90414999999</v>
      </c>
      <c r="I14" s="4">
        <f>IncState!I36*-1</f>
        <v>-222754.9737</v>
      </c>
      <c r="J14" s="4">
        <f>IncState!J36*-1</f>
        <v>-238666.04324999999</v>
      </c>
      <c r="K14" s="4">
        <f>IncState!K36*-1</f>
        <v>-254577.11279999997</v>
      </c>
      <c r="L14" s="4">
        <f>IncState!L36*-1</f>
        <v>-270488.18234999996</v>
      </c>
      <c r="M14" s="4">
        <f>IncState!M36*-1</f>
        <v>-286399.25189999997</v>
      </c>
    </row>
    <row r="15" spans="1:15">
      <c r="B15" s="4" t="s">
        <v>21</v>
      </c>
      <c r="F15" s="4">
        <f>Calcs!F11</f>
        <v>0</v>
      </c>
      <c r="G15" s="4">
        <f>Calcs!G11</f>
        <v>0</v>
      </c>
      <c r="H15" s="4">
        <f>Calcs!H11</f>
        <v>0</v>
      </c>
      <c r="I15" s="4">
        <f>Calcs!I11</f>
        <v>0</v>
      </c>
      <c r="J15" s="4">
        <f>Calcs!J11</f>
        <v>0</v>
      </c>
      <c r="K15" s="4">
        <f>Calcs!K11</f>
        <v>0</v>
      </c>
      <c r="L15" s="4">
        <f>Calcs!L11</f>
        <v>0</v>
      </c>
      <c r="M15" s="4">
        <f>Calcs!M11</f>
        <v>0</v>
      </c>
    </row>
    <row r="16" spans="1:15">
      <c r="B16" s="4" t="s">
        <v>212</v>
      </c>
      <c r="F16" s="4">
        <f>SUM(Debt!F8:F9)</f>
        <v>0</v>
      </c>
      <c r="G16" s="4">
        <f>SUM(Debt!G8:G9)</f>
        <v>0</v>
      </c>
      <c r="H16" s="4">
        <f>SUM(Debt!H8:H9)</f>
        <v>0</v>
      </c>
      <c r="I16" s="4">
        <f>SUM(Debt!I8:I9)</f>
        <v>0</v>
      </c>
      <c r="J16" s="4">
        <f>SUM(Debt!J8:J9)</f>
        <v>0</v>
      </c>
      <c r="K16" s="4">
        <f>SUM(Debt!K8:K9)</f>
        <v>0</v>
      </c>
      <c r="L16" s="4">
        <f>SUM(Debt!L8:L9)</f>
        <v>0</v>
      </c>
      <c r="M16" s="4">
        <f>SUM(Debt!M8:M9)</f>
        <v>0</v>
      </c>
    </row>
    <row r="17" spans="2:13" s="11" customFormat="1">
      <c r="B17" s="11" t="s">
        <v>20</v>
      </c>
      <c r="F17" s="11">
        <f>SUM(F14:F16)</f>
        <v>-175021.76504999999</v>
      </c>
      <c r="G17" s="11">
        <f t="shared" ref="G17:M17" si="3">SUM(G14:G16)</f>
        <v>-190932.8346</v>
      </c>
      <c r="H17" s="11">
        <f t="shared" si="3"/>
        <v>-206843.90414999999</v>
      </c>
      <c r="I17" s="11">
        <f t="shared" si="3"/>
        <v>-222754.9737</v>
      </c>
      <c r="J17" s="11">
        <f t="shared" si="3"/>
        <v>-238666.04324999999</v>
      </c>
      <c r="K17" s="11">
        <f t="shared" si="3"/>
        <v>-254577.11279999997</v>
      </c>
      <c r="L17" s="11">
        <f t="shared" si="3"/>
        <v>-270488.18234999996</v>
      </c>
      <c r="M17" s="11">
        <f t="shared" si="3"/>
        <v>-286399.25189999997</v>
      </c>
    </row>
    <row r="18" spans="2:13">
      <c r="I18" s="4"/>
      <c r="J18" s="4"/>
    </row>
    <row r="19" spans="2:13">
      <c r="B19" s="4" t="s">
        <v>213</v>
      </c>
      <c r="F19" s="4">
        <f>SUM(F17,F12,F9)</f>
        <v>440491.04346692236</v>
      </c>
      <c r="G19" s="4">
        <f t="shared" ref="G19:M19" si="4">SUM(G17,G12,G9)</f>
        <v>398234.58743696485</v>
      </c>
      <c r="H19" s="4">
        <f t="shared" si="4"/>
        <v>406207.4360817034</v>
      </c>
      <c r="I19" s="4">
        <f t="shared" si="4"/>
        <v>430132.69516577641</v>
      </c>
      <c r="J19" s="4">
        <f t="shared" si="4"/>
        <v>468013.90907492442</v>
      </c>
      <c r="K19" s="4">
        <f t="shared" si="4"/>
        <v>518938.60040572897</v>
      </c>
      <c r="L19" s="4">
        <f t="shared" si="4"/>
        <v>582806.85429242626</v>
      </c>
      <c r="M19" s="4">
        <f t="shared" si="4"/>
        <v>660158.61357332394</v>
      </c>
    </row>
    <row r="20" spans="2:13">
      <c r="I20" s="4"/>
      <c r="J20" s="4"/>
    </row>
    <row r="21" spans="2:13">
      <c r="B21" s="4" t="s">
        <v>214</v>
      </c>
      <c r="F21" s="4">
        <f>BalSheet!E18</f>
        <v>1800229.2328767122</v>
      </c>
      <c r="G21" s="4">
        <f>BalSheet!F18</f>
        <v>2240720.2763436344</v>
      </c>
      <c r="H21" s="4">
        <f>BalSheet!G18</f>
        <v>2638954.8637805991</v>
      </c>
      <c r="I21" s="4">
        <f>BalSheet!H18</f>
        <v>3045162.2998623024</v>
      </c>
      <c r="J21" s="4">
        <f>BalSheet!I18</f>
        <v>3475294.9950280786</v>
      </c>
      <c r="K21" s="4">
        <f>BalSheet!J18</f>
        <v>3943308.904103003</v>
      </c>
      <c r="L21" s="4">
        <f>BalSheet!K18</f>
        <v>4462247.5045087319</v>
      </c>
      <c r="M21" s="4">
        <f>BalSheet!L18</f>
        <v>5045054.3588011581</v>
      </c>
    </row>
    <row r="22" spans="2:13">
      <c r="B22" s="4" t="s">
        <v>215</v>
      </c>
      <c r="F22" s="4">
        <f>F19</f>
        <v>440491.04346692236</v>
      </c>
      <c r="G22" s="4">
        <f t="shared" ref="G22:M22" si="5">G19</f>
        <v>398234.58743696485</v>
      </c>
      <c r="H22" s="4">
        <f t="shared" si="5"/>
        <v>406207.4360817034</v>
      </c>
      <c r="I22" s="4">
        <f t="shared" si="5"/>
        <v>430132.69516577641</v>
      </c>
      <c r="J22" s="4">
        <f t="shared" si="5"/>
        <v>468013.90907492442</v>
      </c>
      <c r="K22" s="4">
        <f t="shared" si="5"/>
        <v>518938.60040572897</v>
      </c>
      <c r="L22" s="4">
        <f t="shared" si="5"/>
        <v>582806.85429242626</v>
      </c>
      <c r="M22" s="4">
        <f t="shared" si="5"/>
        <v>660158.61357332394</v>
      </c>
    </row>
    <row r="23" spans="2:13">
      <c r="B23" s="4" t="s">
        <v>216</v>
      </c>
      <c r="F23" s="4">
        <f>SUM(F21:F22)</f>
        <v>2240720.2763436344</v>
      </c>
      <c r="G23" s="4">
        <f t="shared" ref="G23:M23" si="6">SUM(G21:G22)</f>
        <v>2638954.8637805991</v>
      </c>
      <c r="H23" s="4">
        <f t="shared" si="6"/>
        <v>3045162.2998623024</v>
      </c>
      <c r="I23" s="4">
        <f t="shared" si="6"/>
        <v>3475294.9950280786</v>
      </c>
      <c r="J23" s="4">
        <f t="shared" si="6"/>
        <v>3943308.904103003</v>
      </c>
      <c r="K23" s="4">
        <f t="shared" si="6"/>
        <v>4462247.5045087319</v>
      </c>
      <c r="L23" s="4">
        <f t="shared" si="6"/>
        <v>5045054.3588011581</v>
      </c>
      <c r="M23" s="4">
        <f t="shared" si="6"/>
        <v>5705212.9723744821</v>
      </c>
    </row>
  </sheetData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&amp;L&amp;8&amp;F &amp;A</oddHeader>
    <oddFooter>&amp;R&amp;8&amp;P of &amp;N&amp;L&amp;8© AMT Training 2008 - 2017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2">
    <pageSetUpPr autoPageBreaks="0" fitToPage="1"/>
  </sheetPr>
  <dimension ref="A1:O30"/>
  <sheetViews>
    <sheetView showGridLines="0" zoomScaleNormal="100" workbookViewId="0">
      <selection activeCell="F8" sqref="F8"/>
    </sheetView>
  </sheetViews>
  <sheetFormatPr defaultColWidth="8.85546875" defaultRowHeight="15"/>
  <cols>
    <col min="1" max="1" width="1.7109375" style="11" customWidth="1"/>
    <col min="2" max="2" width="40.7109375" style="4" customWidth="1"/>
    <col min="3" max="8" width="11.7109375" style="4" customWidth="1"/>
    <col min="9" max="10" width="11.7109375" style="6" customWidth="1"/>
    <col min="11" max="13" width="11.7109375" style="4" customWidth="1"/>
    <col min="14" max="256" width="8.85546875" style="4"/>
    <col min="257" max="257" width="1.7109375" style="4" customWidth="1"/>
    <col min="258" max="258" width="40.7109375" style="4" customWidth="1"/>
    <col min="259" max="264" width="10.7109375" style="4" customWidth="1"/>
    <col min="265" max="266" width="9.42578125" style="4" bestFit="1" customWidth="1"/>
    <col min="267" max="512" width="8.85546875" style="4"/>
    <col min="513" max="513" width="1.7109375" style="4" customWidth="1"/>
    <col min="514" max="514" width="40.7109375" style="4" customWidth="1"/>
    <col min="515" max="520" width="10.7109375" style="4" customWidth="1"/>
    <col min="521" max="522" width="9.42578125" style="4" bestFit="1" customWidth="1"/>
    <col min="523" max="768" width="8.85546875" style="4"/>
    <col min="769" max="769" width="1.7109375" style="4" customWidth="1"/>
    <col min="770" max="770" width="40.7109375" style="4" customWidth="1"/>
    <col min="771" max="776" width="10.7109375" style="4" customWidth="1"/>
    <col min="777" max="778" width="9.42578125" style="4" bestFit="1" customWidth="1"/>
    <col min="779" max="1024" width="8.85546875" style="4"/>
    <col min="1025" max="1025" width="1.7109375" style="4" customWidth="1"/>
    <col min="1026" max="1026" width="40.7109375" style="4" customWidth="1"/>
    <col min="1027" max="1032" width="10.7109375" style="4" customWidth="1"/>
    <col min="1033" max="1034" width="9.42578125" style="4" bestFit="1" customWidth="1"/>
    <col min="1035" max="1280" width="8.85546875" style="4"/>
    <col min="1281" max="1281" width="1.7109375" style="4" customWidth="1"/>
    <col min="1282" max="1282" width="40.7109375" style="4" customWidth="1"/>
    <col min="1283" max="1288" width="10.7109375" style="4" customWidth="1"/>
    <col min="1289" max="1290" width="9.42578125" style="4" bestFit="1" customWidth="1"/>
    <col min="1291" max="1536" width="8.85546875" style="4"/>
    <col min="1537" max="1537" width="1.7109375" style="4" customWidth="1"/>
    <col min="1538" max="1538" width="40.7109375" style="4" customWidth="1"/>
    <col min="1539" max="1544" width="10.7109375" style="4" customWidth="1"/>
    <col min="1545" max="1546" width="9.42578125" style="4" bestFit="1" customWidth="1"/>
    <col min="1547" max="1792" width="8.85546875" style="4"/>
    <col min="1793" max="1793" width="1.7109375" style="4" customWidth="1"/>
    <col min="1794" max="1794" width="40.7109375" style="4" customWidth="1"/>
    <col min="1795" max="1800" width="10.7109375" style="4" customWidth="1"/>
    <col min="1801" max="1802" width="9.42578125" style="4" bestFit="1" customWidth="1"/>
    <col min="1803" max="2048" width="8.85546875" style="4"/>
    <col min="2049" max="2049" width="1.7109375" style="4" customWidth="1"/>
    <col min="2050" max="2050" width="40.7109375" style="4" customWidth="1"/>
    <col min="2051" max="2056" width="10.7109375" style="4" customWidth="1"/>
    <col min="2057" max="2058" width="9.42578125" style="4" bestFit="1" customWidth="1"/>
    <col min="2059" max="2304" width="8.85546875" style="4"/>
    <col min="2305" max="2305" width="1.7109375" style="4" customWidth="1"/>
    <col min="2306" max="2306" width="40.7109375" style="4" customWidth="1"/>
    <col min="2307" max="2312" width="10.7109375" style="4" customWidth="1"/>
    <col min="2313" max="2314" width="9.42578125" style="4" bestFit="1" customWidth="1"/>
    <col min="2315" max="2560" width="8.85546875" style="4"/>
    <col min="2561" max="2561" width="1.7109375" style="4" customWidth="1"/>
    <col min="2562" max="2562" width="40.7109375" style="4" customWidth="1"/>
    <col min="2563" max="2568" width="10.7109375" style="4" customWidth="1"/>
    <col min="2569" max="2570" width="9.42578125" style="4" bestFit="1" customWidth="1"/>
    <col min="2571" max="2816" width="8.85546875" style="4"/>
    <col min="2817" max="2817" width="1.7109375" style="4" customWidth="1"/>
    <col min="2818" max="2818" width="40.7109375" style="4" customWidth="1"/>
    <col min="2819" max="2824" width="10.7109375" style="4" customWidth="1"/>
    <col min="2825" max="2826" width="9.42578125" style="4" bestFit="1" customWidth="1"/>
    <col min="2827" max="3072" width="8.85546875" style="4"/>
    <col min="3073" max="3073" width="1.7109375" style="4" customWidth="1"/>
    <col min="3074" max="3074" width="40.7109375" style="4" customWidth="1"/>
    <col min="3075" max="3080" width="10.7109375" style="4" customWidth="1"/>
    <col min="3081" max="3082" width="9.42578125" style="4" bestFit="1" customWidth="1"/>
    <col min="3083" max="3328" width="8.85546875" style="4"/>
    <col min="3329" max="3329" width="1.7109375" style="4" customWidth="1"/>
    <col min="3330" max="3330" width="40.7109375" style="4" customWidth="1"/>
    <col min="3331" max="3336" width="10.7109375" style="4" customWidth="1"/>
    <col min="3337" max="3338" width="9.42578125" style="4" bestFit="1" customWidth="1"/>
    <col min="3339" max="3584" width="8.85546875" style="4"/>
    <col min="3585" max="3585" width="1.7109375" style="4" customWidth="1"/>
    <col min="3586" max="3586" width="40.7109375" style="4" customWidth="1"/>
    <col min="3587" max="3592" width="10.7109375" style="4" customWidth="1"/>
    <col min="3593" max="3594" width="9.42578125" style="4" bestFit="1" customWidth="1"/>
    <col min="3595" max="3840" width="8.85546875" style="4"/>
    <col min="3841" max="3841" width="1.7109375" style="4" customWidth="1"/>
    <col min="3842" max="3842" width="40.7109375" style="4" customWidth="1"/>
    <col min="3843" max="3848" width="10.7109375" style="4" customWidth="1"/>
    <col min="3849" max="3850" width="9.42578125" style="4" bestFit="1" customWidth="1"/>
    <col min="3851" max="4096" width="8.85546875" style="4"/>
    <col min="4097" max="4097" width="1.7109375" style="4" customWidth="1"/>
    <col min="4098" max="4098" width="40.7109375" style="4" customWidth="1"/>
    <col min="4099" max="4104" width="10.7109375" style="4" customWidth="1"/>
    <col min="4105" max="4106" width="9.42578125" style="4" bestFit="1" customWidth="1"/>
    <col min="4107" max="4352" width="8.85546875" style="4"/>
    <col min="4353" max="4353" width="1.7109375" style="4" customWidth="1"/>
    <col min="4354" max="4354" width="40.7109375" style="4" customWidth="1"/>
    <col min="4355" max="4360" width="10.7109375" style="4" customWidth="1"/>
    <col min="4361" max="4362" width="9.42578125" style="4" bestFit="1" customWidth="1"/>
    <col min="4363" max="4608" width="8.85546875" style="4"/>
    <col min="4609" max="4609" width="1.7109375" style="4" customWidth="1"/>
    <col min="4610" max="4610" width="40.7109375" style="4" customWidth="1"/>
    <col min="4611" max="4616" width="10.7109375" style="4" customWidth="1"/>
    <col min="4617" max="4618" width="9.42578125" style="4" bestFit="1" customWidth="1"/>
    <col min="4619" max="4864" width="8.85546875" style="4"/>
    <col min="4865" max="4865" width="1.7109375" style="4" customWidth="1"/>
    <col min="4866" max="4866" width="40.7109375" style="4" customWidth="1"/>
    <col min="4867" max="4872" width="10.7109375" style="4" customWidth="1"/>
    <col min="4873" max="4874" width="9.42578125" style="4" bestFit="1" customWidth="1"/>
    <col min="4875" max="5120" width="8.85546875" style="4"/>
    <col min="5121" max="5121" width="1.7109375" style="4" customWidth="1"/>
    <col min="5122" max="5122" width="40.7109375" style="4" customWidth="1"/>
    <col min="5123" max="5128" width="10.7109375" style="4" customWidth="1"/>
    <col min="5129" max="5130" width="9.42578125" style="4" bestFit="1" customWidth="1"/>
    <col min="5131" max="5376" width="8.85546875" style="4"/>
    <col min="5377" max="5377" width="1.7109375" style="4" customWidth="1"/>
    <col min="5378" max="5378" width="40.7109375" style="4" customWidth="1"/>
    <col min="5379" max="5384" width="10.7109375" style="4" customWidth="1"/>
    <col min="5385" max="5386" width="9.42578125" style="4" bestFit="1" customWidth="1"/>
    <col min="5387" max="5632" width="8.85546875" style="4"/>
    <col min="5633" max="5633" width="1.7109375" style="4" customWidth="1"/>
    <col min="5634" max="5634" width="40.7109375" style="4" customWidth="1"/>
    <col min="5635" max="5640" width="10.7109375" style="4" customWidth="1"/>
    <col min="5641" max="5642" width="9.42578125" style="4" bestFit="1" customWidth="1"/>
    <col min="5643" max="5888" width="8.85546875" style="4"/>
    <col min="5889" max="5889" width="1.7109375" style="4" customWidth="1"/>
    <col min="5890" max="5890" width="40.7109375" style="4" customWidth="1"/>
    <col min="5891" max="5896" width="10.7109375" style="4" customWidth="1"/>
    <col min="5897" max="5898" width="9.42578125" style="4" bestFit="1" customWidth="1"/>
    <col min="5899" max="6144" width="8.85546875" style="4"/>
    <col min="6145" max="6145" width="1.7109375" style="4" customWidth="1"/>
    <col min="6146" max="6146" width="40.7109375" style="4" customWidth="1"/>
    <col min="6147" max="6152" width="10.7109375" style="4" customWidth="1"/>
    <col min="6153" max="6154" width="9.42578125" style="4" bestFit="1" customWidth="1"/>
    <col min="6155" max="6400" width="8.85546875" style="4"/>
    <col min="6401" max="6401" width="1.7109375" style="4" customWidth="1"/>
    <col min="6402" max="6402" width="40.7109375" style="4" customWidth="1"/>
    <col min="6403" max="6408" width="10.7109375" style="4" customWidth="1"/>
    <col min="6409" max="6410" width="9.42578125" style="4" bestFit="1" customWidth="1"/>
    <col min="6411" max="6656" width="8.85546875" style="4"/>
    <col min="6657" max="6657" width="1.7109375" style="4" customWidth="1"/>
    <col min="6658" max="6658" width="40.7109375" style="4" customWidth="1"/>
    <col min="6659" max="6664" width="10.7109375" style="4" customWidth="1"/>
    <col min="6665" max="6666" width="9.42578125" style="4" bestFit="1" customWidth="1"/>
    <col min="6667" max="6912" width="8.85546875" style="4"/>
    <col min="6913" max="6913" width="1.7109375" style="4" customWidth="1"/>
    <col min="6914" max="6914" width="40.7109375" style="4" customWidth="1"/>
    <col min="6915" max="6920" width="10.7109375" style="4" customWidth="1"/>
    <col min="6921" max="6922" width="9.42578125" style="4" bestFit="1" customWidth="1"/>
    <col min="6923" max="7168" width="8.85546875" style="4"/>
    <col min="7169" max="7169" width="1.7109375" style="4" customWidth="1"/>
    <col min="7170" max="7170" width="40.7109375" style="4" customWidth="1"/>
    <col min="7171" max="7176" width="10.7109375" style="4" customWidth="1"/>
    <col min="7177" max="7178" width="9.42578125" style="4" bestFit="1" customWidth="1"/>
    <col min="7179" max="7424" width="8.85546875" style="4"/>
    <col min="7425" max="7425" width="1.7109375" style="4" customWidth="1"/>
    <col min="7426" max="7426" width="40.7109375" style="4" customWidth="1"/>
    <col min="7427" max="7432" width="10.7109375" style="4" customWidth="1"/>
    <col min="7433" max="7434" width="9.42578125" style="4" bestFit="1" customWidth="1"/>
    <col min="7435" max="7680" width="8.85546875" style="4"/>
    <col min="7681" max="7681" width="1.7109375" style="4" customWidth="1"/>
    <col min="7682" max="7682" width="40.7109375" style="4" customWidth="1"/>
    <col min="7683" max="7688" width="10.7109375" style="4" customWidth="1"/>
    <col min="7689" max="7690" width="9.42578125" style="4" bestFit="1" customWidth="1"/>
    <col min="7691" max="7936" width="8.85546875" style="4"/>
    <col min="7937" max="7937" width="1.7109375" style="4" customWidth="1"/>
    <col min="7938" max="7938" width="40.7109375" style="4" customWidth="1"/>
    <col min="7939" max="7944" width="10.7109375" style="4" customWidth="1"/>
    <col min="7945" max="7946" width="9.42578125" style="4" bestFit="1" customWidth="1"/>
    <col min="7947" max="8192" width="8.85546875" style="4"/>
    <col min="8193" max="8193" width="1.7109375" style="4" customWidth="1"/>
    <col min="8194" max="8194" width="40.7109375" style="4" customWidth="1"/>
    <col min="8195" max="8200" width="10.7109375" style="4" customWidth="1"/>
    <col min="8201" max="8202" width="9.42578125" style="4" bestFit="1" customWidth="1"/>
    <col min="8203" max="8448" width="8.85546875" style="4"/>
    <col min="8449" max="8449" width="1.7109375" style="4" customWidth="1"/>
    <col min="8450" max="8450" width="40.7109375" style="4" customWidth="1"/>
    <col min="8451" max="8456" width="10.7109375" style="4" customWidth="1"/>
    <col min="8457" max="8458" width="9.42578125" style="4" bestFit="1" customWidth="1"/>
    <col min="8459" max="8704" width="8.85546875" style="4"/>
    <col min="8705" max="8705" width="1.7109375" style="4" customWidth="1"/>
    <col min="8706" max="8706" width="40.7109375" style="4" customWidth="1"/>
    <col min="8707" max="8712" width="10.7109375" style="4" customWidth="1"/>
    <col min="8713" max="8714" width="9.42578125" style="4" bestFit="1" customWidth="1"/>
    <col min="8715" max="8960" width="8.85546875" style="4"/>
    <col min="8961" max="8961" width="1.7109375" style="4" customWidth="1"/>
    <col min="8962" max="8962" width="40.7109375" style="4" customWidth="1"/>
    <col min="8963" max="8968" width="10.7109375" style="4" customWidth="1"/>
    <col min="8969" max="8970" width="9.42578125" style="4" bestFit="1" customWidth="1"/>
    <col min="8971" max="9216" width="8.85546875" style="4"/>
    <col min="9217" max="9217" width="1.7109375" style="4" customWidth="1"/>
    <col min="9218" max="9218" width="40.7109375" style="4" customWidth="1"/>
    <col min="9219" max="9224" width="10.7109375" style="4" customWidth="1"/>
    <col min="9225" max="9226" width="9.42578125" style="4" bestFit="1" customWidth="1"/>
    <col min="9227" max="9472" width="8.85546875" style="4"/>
    <col min="9473" max="9473" width="1.7109375" style="4" customWidth="1"/>
    <col min="9474" max="9474" width="40.7109375" style="4" customWidth="1"/>
    <col min="9475" max="9480" width="10.7109375" style="4" customWidth="1"/>
    <col min="9481" max="9482" width="9.42578125" style="4" bestFit="1" customWidth="1"/>
    <col min="9483" max="9728" width="8.85546875" style="4"/>
    <col min="9729" max="9729" width="1.7109375" style="4" customWidth="1"/>
    <col min="9730" max="9730" width="40.7109375" style="4" customWidth="1"/>
    <col min="9731" max="9736" width="10.7109375" style="4" customWidth="1"/>
    <col min="9737" max="9738" width="9.42578125" style="4" bestFit="1" customWidth="1"/>
    <col min="9739" max="9984" width="8.85546875" style="4"/>
    <col min="9985" max="9985" width="1.7109375" style="4" customWidth="1"/>
    <col min="9986" max="9986" width="40.7109375" style="4" customWidth="1"/>
    <col min="9987" max="9992" width="10.7109375" style="4" customWidth="1"/>
    <col min="9993" max="9994" width="9.42578125" style="4" bestFit="1" customWidth="1"/>
    <col min="9995" max="10240" width="8.85546875" style="4"/>
    <col min="10241" max="10241" width="1.7109375" style="4" customWidth="1"/>
    <col min="10242" max="10242" width="40.7109375" style="4" customWidth="1"/>
    <col min="10243" max="10248" width="10.7109375" style="4" customWidth="1"/>
    <col min="10249" max="10250" width="9.42578125" style="4" bestFit="1" customWidth="1"/>
    <col min="10251" max="10496" width="8.85546875" style="4"/>
    <col min="10497" max="10497" width="1.7109375" style="4" customWidth="1"/>
    <col min="10498" max="10498" width="40.7109375" style="4" customWidth="1"/>
    <col min="10499" max="10504" width="10.7109375" style="4" customWidth="1"/>
    <col min="10505" max="10506" width="9.42578125" style="4" bestFit="1" customWidth="1"/>
    <col min="10507" max="10752" width="8.85546875" style="4"/>
    <col min="10753" max="10753" width="1.7109375" style="4" customWidth="1"/>
    <col min="10754" max="10754" width="40.7109375" style="4" customWidth="1"/>
    <col min="10755" max="10760" width="10.7109375" style="4" customWidth="1"/>
    <col min="10761" max="10762" width="9.42578125" style="4" bestFit="1" customWidth="1"/>
    <col min="10763" max="11008" width="8.85546875" style="4"/>
    <col min="11009" max="11009" width="1.7109375" style="4" customWidth="1"/>
    <col min="11010" max="11010" width="40.7109375" style="4" customWidth="1"/>
    <col min="11011" max="11016" width="10.7109375" style="4" customWidth="1"/>
    <col min="11017" max="11018" width="9.42578125" style="4" bestFit="1" customWidth="1"/>
    <col min="11019" max="11264" width="8.85546875" style="4"/>
    <col min="11265" max="11265" width="1.7109375" style="4" customWidth="1"/>
    <col min="11266" max="11266" width="40.7109375" style="4" customWidth="1"/>
    <col min="11267" max="11272" width="10.7109375" style="4" customWidth="1"/>
    <col min="11273" max="11274" width="9.42578125" style="4" bestFit="1" customWidth="1"/>
    <col min="11275" max="11520" width="8.85546875" style="4"/>
    <col min="11521" max="11521" width="1.7109375" style="4" customWidth="1"/>
    <col min="11522" max="11522" width="40.7109375" style="4" customWidth="1"/>
    <col min="11523" max="11528" width="10.7109375" style="4" customWidth="1"/>
    <col min="11529" max="11530" width="9.42578125" style="4" bestFit="1" customWidth="1"/>
    <col min="11531" max="11776" width="8.85546875" style="4"/>
    <col min="11777" max="11777" width="1.7109375" style="4" customWidth="1"/>
    <col min="11778" max="11778" width="40.7109375" style="4" customWidth="1"/>
    <col min="11779" max="11784" width="10.7109375" style="4" customWidth="1"/>
    <col min="11785" max="11786" width="9.42578125" style="4" bestFit="1" customWidth="1"/>
    <col min="11787" max="12032" width="8.85546875" style="4"/>
    <col min="12033" max="12033" width="1.7109375" style="4" customWidth="1"/>
    <col min="12034" max="12034" width="40.7109375" style="4" customWidth="1"/>
    <col min="12035" max="12040" width="10.7109375" style="4" customWidth="1"/>
    <col min="12041" max="12042" width="9.42578125" style="4" bestFit="1" customWidth="1"/>
    <col min="12043" max="12288" width="8.85546875" style="4"/>
    <col min="12289" max="12289" width="1.7109375" style="4" customWidth="1"/>
    <col min="12290" max="12290" width="40.7109375" style="4" customWidth="1"/>
    <col min="12291" max="12296" width="10.7109375" style="4" customWidth="1"/>
    <col min="12297" max="12298" width="9.42578125" style="4" bestFit="1" customWidth="1"/>
    <col min="12299" max="12544" width="8.85546875" style="4"/>
    <col min="12545" max="12545" width="1.7109375" style="4" customWidth="1"/>
    <col min="12546" max="12546" width="40.7109375" style="4" customWidth="1"/>
    <col min="12547" max="12552" width="10.7109375" style="4" customWidth="1"/>
    <col min="12553" max="12554" width="9.42578125" style="4" bestFit="1" customWidth="1"/>
    <col min="12555" max="12800" width="8.85546875" style="4"/>
    <col min="12801" max="12801" width="1.7109375" style="4" customWidth="1"/>
    <col min="12802" max="12802" width="40.7109375" style="4" customWidth="1"/>
    <col min="12803" max="12808" width="10.7109375" style="4" customWidth="1"/>
    <col min="12809" max="12810" width="9.42578125" style="4" bestFit="1" customWidth="1"/>
    <col min="12811" max="13056" width="8.85546875" style="4"/>
    <col min="13057" max="13057" width="1.7109375" style="4" customWidth="1"/>
    <col min="13058" max="13058" width="40.7109375" style="4" customWidth="1"/>
    <col min="13059" max="13064" width="10.7109375" style="4" customWidth="1"/>
    <col min="13065" max="13066" width="9.42578125" style="4" bestFit="1" customWidth="1"/>
    <col min="13067" max="13312" width="8.85546875" style="4"/>
    <col min="13313" max="13313" width="1.7109375" style="4" customWidth="1"/>
    <col min="13314" max="13314" width="40.7109375" style="4" customWidth="1"/>
    <col min="13315" max="13320" width="10.7109375" style="4" customWidth="1"/>
    <col min="13321" max="13322" width="9.42578125" style="4" bestFit="1" customWidth="1"/>
    <col min="13323" max="13568" width="8.85546875" style="4"/>
    <col min="13569" max="13569" width="1.7109375" style="4" customWidth="1"/>
    <col min="13570" max="13570" width="40.7109375" style="4" customWidth="1"/>
    <col min="13571" max="13576" width="10.7109375" style="4" customWidth="1"/>
    <col min="13577" max="13578" width="9.42578125" style="4" bestFit="1" customWidth="1"/>
    <col min="13579" max="13824" width="8.85546875" style="4"/>
    <col min="13825" max="13825" width="1.7109375" style="4" customWidth="1"/>
    <col min="13826" max="13826" width="40.7109375" style="4" customWidth="1"/>
    <col min="13827" max="13832" width="10.7109375" style="4" customWidth="1"/>
    <col min="13833" max="13834" width="9.42578125" style="4" bestFit="1" customWidth="1"/>
    <col min="13835" max="14080" width="8.85546875" style="4"/>
    <col min="14081" max="14081" width="1.7109375" style="4" customWidth="1"/>
    <col min="14082" max="14082" width="40.7109375" style="4" customWidth="1"/>
    <col min="14083" max="14088" width="10.7109375" style="4" customWidth="1"/>
    <col min="14089" max="14090" width="9.42578125" style="4" bestFit="1" customWidth="1"/>
    <col min="14091" max="14336" width="8.85546875" style="4"/>
    <col min="14337" max="14337" width="1.7109375" style="4" customWidth="1"/>
    <col min="14338" max="14338" width="40.7109375" style="4" customWidth="1"/>
    <col min="14339" max="14344" width="10.7109375" style="4" customWidth="1"/>
    <col min="14345" max="14346" width="9.42578125" style="4" bestFit="1" customWidth="1"/>
    <col min="14347" max="14592" width="8.85546875" style="4"/>
    <col min="14593" max="14593" width="1.7109375" style="4" customWidth="1"/>
    <col min="14594" max="14594" width="40.7109375" style="4" customWidth="1"/>
    <col min="14595" max="14600" width="10.7109375" style="4" customWidth="1"/>
    <col min="14601" max="14602" width="9.42578125" style="4" bestFit="1" customWidth="1"/>
    <col min="14603" max="14848" width="8.85546875" style="4"/>
    <col min="14849" max="14849" width="1.7109375" style="4" customWidth="1"/>
    <col min="14850" max="14850" width="40.7109375" style="4" customWidth="1"/>
    <col min="14851" max="14856" width="10.7109375" style="4" customWidth="1"/>
    <col min="14857" max="14858" width="9.42578125" style="4" bestFit="1" customWidth="1"/>
    <col min="14859" max="15104" width="8.85546875" style="4"/>
    <col min="15105" max="15105" width="1.7109375" style="4" customWidth="1"/>
    <col min="15106" max="15106" width="40.7109375" style="4" customWidth="1"/>
    <col min="15107" max="15112" width="10.7109375" style="4" customWidth="1"/>
    <col min="15113" max="15114" width="9.42578125" style="4" bestFit="1" customWidth="1"/>
    <col min="15115" max="15360" width="8.85546875" style="4"/>
    <col min="15361" max="15361" width="1.7109375" style="4" customWidth="1"/>
    <col min="15362" max="15362" width="40.7109375" style="4" customWidth="1"/>
    <col min="15363" max="15368" width="10.7109375" style="4" customWidth="1"/>
    <col min="15369" max="15370" width="9.42578125" style="4" bestFit="1" customWidth="1"/>
    <col min="15371" max="15616" width="8.85546875" style="4"/>
    <col min="15617" max="15617" width="1.7109375" style="4" customWidth="1"/>
    <col min="15618" max="15618" width="40.7109375" style="4" customWidth="1"/>
    <col min="15619" max="15624" width="10.7109375" style="4" customWidth="1"/>
    <col min="15625" max="15626" width="9.42578125" style="4" bestFit="1" customWidth="1"/>
    <col min="15627" max="15872" width="8.85546875" style="4"/>
    <col min="15873" max="15873" width="1.7109375" style="4" customWidth="1"/>
    <col min="15874" max="15874" width="40.7109375" style="4" customWidth="1"/>
    <col min="15875" max="15880" width="10.7109375" style="4" customWidth="1"/>
    <col min="15881" max="15882" width="9.42578125" style="4" bestFit="1" customWidth="1"/>
    <col min="15883" max="16128" width="8.85546875" style="4"/>
    <col min="16129" max="16129" width="1.7109375" style="4" customWidth="1"/>
    <col min="16130" max="16130" width="40.7109375" style="4" customWidth="1"/>
    <col min="16131" max="16136" width="10.7109375" style="4" customWidth="1"/>
    <col min="16137" max="16138" width="9.42578125" style="4" bestFit="1" customWidth="1"/>
    <col min="16139" max="16384" width="8.85546875" style="4"/>
  </cols>
  <sheetData>
    <row r="1" spans="1:15" s="2" customFormat="1" ht="19.5">
      <c r="A1" s="293" t="str">
        <f>CoName</f>
        <v>Fast Retailing</v>
      </c>
      <c r="B1" s="3"/>
      <c r="C1" s="43" t="s">
        <v>0</v>
      </c>
      <c r="D1" s="43" t="s">
        <v>0</v>
      </c>
      <c r="E1" s="43" t="s">
        <v>0</v>
      </c>
      <c r="F1" s="43" t="s">
        <v>1</v>
      </c>
      <c r="G1" s="43" t="s">
        <v>1</v>
      </c>
      <c r="H1" s="43" t="s">
        <v>1</v>
      </c>
      <c r="I1" s="43" t="s">
        <v>1</v>
      </c>
      <c r="J1" s="43" t="s">
        <v>1</v>
      </c>
      <c r="K1" s="43" t="s">
        <v>1</v>
      </c>
      <c r="L1" s="43" t="s">
        <v>1</v>
      </c>
      <c r="M1" s="43" t="s">
        <v>1</v>
      </c>
      <c r="N1" s="43"/>
      <c r="O1" s="43"/>
    </row>
    <row r="2" spans="1:15" s="2" customFormat="1" ht="16.350000000000001" customHeight="1">
      <c r="A2" s="195" t="s">
        <v>87</v>
      </c>
      <c r="B2" s="196"/>
      <c r="C2" s="200">
        <v>2023</v>
      </c>
      <c r="D2" s="200">
        <v>2024</v>
      </c>
      <c r="E2" s="200">
        <v>2025</v>
      </c>
      <c r="F2" s="200">
        <v>2026</v>
      </c>
      <c r="G2" s="200">
        <v>2027</v>
      </c>
      <c r="H2" s="200">
        <v>2028</v>
      </c>
      <c r="I2" s="200">
        <v>2029</v>
      </c>
      <c r="J2" s="200">
        <v>2030</v>
      </c>
      <c r="K2" s="200">
        <v>2031</v>
      </c>
      <c r="L2" s="200">
        <v>2032</v>
      </c>
      <c r="M2" s="200">
        <v>2033</v>
      </c>
      <c r="N2" s="225"/>
      <c r="O2" s="225"/>
    </row>
    <row r="3" spans="1:15">
      <c r="A3" s="11" t="s">
        <v>125</v>
      </c>
      <c r="B3" s="4" t="s">
        <v>88</v>
      </c>
      <c r="D3" s="272"/>
      <c r="E3" s="25"/>
      <c r="F3" s="273">
        <f>IncState!F16</f>
        <v>3748840.1939506801</v>
      </c>
      <c r="G3" s="273">
        <f>IncState!G16</f>
        <v>4139230.2129848236</v>
      </c>
      <c r="H3" s="273">
        <f>IncState!H16</f>
        <v>4577499.7591389455</v>
      </c>
      <c r="I3" s="273">
        <f>IncState!I16</f>
        <v>5070322.8693670817</v>
      </c>
      <c r="J3" s="273">
        <f>IncState!J16</f>
        <v>5625403.2790676886</v>
      </c>
      <c r="K3" s="273">
        <f>IncState!K16</f>
        <v>6251646.626483174</v>
      </c>
      <c r="L3" s="273">
        <f>IncState!L16</f>
        <v>6959363.2725386806</v>
      </c>
      <c r="M3" s="273">
        <f>IncState!M16</f>
        <v>7760507.4201906929</v>
      </c>
      <c r="N3" s="235"/>
      <c r="O3" s="235"/>
    </row>
    <row r="4" spans="1:15">
      <c r="B4" s="4" t="s">
        <v>54</v>
      </c>
      <c r="E4" s="29"/>
      <c r="F4" s="4">
        <f>IncState!F19</f>
        <v>607609.41567712463</v>
      </c>
      <c r="G4" s="4">
        <f>IncState!G19</f>
        <v>670883.55889994977</v>
      </c>
      <c r="H4" s="4">
        <f>IncState!H19</f>
        <v>741917.98263385426</v>
      </c>
      <c r="I4" s="4">
        <f>IncState!I19</f>
        <v>821794.41015431751</v>
      </c>
      <c r="J4" s="4">
        <f>IncState!J19</f>
        <v>911761.45754573308</v>
      </c>
      <c r="K4" s="4">
        <f>IncState!K19</f>
        <v>1013262.5444709165</v>
      </c>
      <c r="L4" s="4">
        <f>IncState!L19</f>
        <v>1127968.7670697505</v>
      </c>
      <c r="M4" s="4">
        <f>IncState!M19</f>
        <v>1257817.6542571755</v>
      </c>
    </row>
    <row r="5" spans="1:15">
      <c r="B5" s="32" t="s">
        <v>93</v>
      </c>
      <c r="C5" s="32"/>
      <c r="D5" s="32"/>
      <c r="E5" s="41"/>
      <c r="F5" s="45">
        <f>IncState!F10</f>
        <v>0.29423401488531664</v>
      </c>
      <c r="G5" s="45">
        <f>IncState!G10</f>
        <v>0.29423401488531664</v>
      </c>
      <c r="H5" s="45">
        <f>IncState!H10</f>
        <v>0.29423401488531664</v>
      </c>
      <c r="I5" s="45">
        <f>IncState!I10</f>
        <v>0.29423401488531664</v>
      </c>
      <c r="J5" s="45">
        <f>IncState!J10</f>
        <v>0.29423401488531664</v>
      </c>
      <c r="K5" s="45">
        <f>IncState!K10</f>
        <v>0.29423401488531664</v>
      </c>
      <c r="L5" s="45">
        <f>IncState!L10</f>
        <v>0.29423401488531664</v>
      </c>
      <c r="M5" s="45">
        <f>IncState!M10</f>
        <v>0.29423401488531664</v>
      </c>
      <c r="N5" s="45"/>
      <c r="O5" s="45"/>
    </row>
    <row r="6" spans="1:15">
      <c r="C6" s="5"/>
      <c r="D6" s="5"/>
      <c r="E6" s="25"/>
      <c r="F6" s="5"/>
      <c r="G6" s="5"/>
      <c r="H6" s="5"/>
      <c r="I6" s="5"/>
      <c r="J6" s="5"/>
      <c r="K6" s="5"/>
      <c r="L6" s="5"/>
      <c r="M6" s="5"/>
      <c r="N6" s="188"/>
      <c r="O6" s="188"/>
    </row>
    <row r="7" spans="1:15">
      <c r="A7" s="26" t="s">
        <v>125</v>
      </c>
      <c r="B7" s="23" t="s">
        <v>89</v>
      </c>
      <c r="C7" s="122"/>
      <c r="D7" s="122"/>
      <c r="E7" s="122"/>
      <c r="F7" s="137">
        <f t="shared" ref="F7:M7" si="0">F4*(1-F5)</f>
        <v>428830.05782032298</v>
      </c>
      <c r="G7" s="137">
        <f t="shared" si="0"/>
        <v>473486.79584426776</v>
      </c>
      <c r="H7" s="137">
        <f t="shared" si="0"/>
        <v>523620.47588788072</v>
      </c>
      <c r="I7" s="137">
        <f t="shared" si="0"/>
        <v>579994.54144430207</v>
      </c>
      <c r="J7" s="201">
        <f t="shared" si="0"/>
        <v>643490.2232743639</v>
      </c>
      <c r="K7" s="201">
        <f t="shared" si="0"/>
        <v>715126.23787832703</v>
      </c>
      <c r="L7" s="201">
        <f t="shared" si="0"/>
        <v>796081.98806957726</v>
      </c>
      <c r="M7" s="172">
        <f t="shared" si="0"/>
        <v>887724.91585145565</v>
      </c>
      <c r="N7" s="235"/>
      <c r="O7" s="235"/>
    </row>
    <row r="8" spans="1:15">
      <c r="B8" s="4" t="s">
        <v>14</v>
      </c>
      <c r="C8" s="122"/>
      <c r="D8" s="122"/>
      <c r="E8" s="123"/>
      <c r="F8" s="138">
        <f>CashFlow!F4</f>
        <v>256899.99999999997</v>
      </c>
      <c r="G8" s="138">
        <f>CashFlow!G4</f>
        <v>215473.848045766</v>
      </c>
      <c r="H8" s="138">
        <f>CashFlow!H4</f>
        <v>198735.29895722176</v>
      </c>
      <c r="I8" s="138">
        <f>CashFlow!I4</f>
        <v>192777.53157683407</v>
      </c>
      <c r="J8" s="138">
        <f>CashFlow!J4</f>
        <v>194859.71973724785</v>
      </c>
      <c r="K8" s="138">
        <f>CashFlow!K4</f>
        <v>203207.01908800993</v>
      </c>
      <c r="L8" s="138">
        <f>CashFlow!L4</f>
        <v>216718.98877331329</v>
      </c>
      <c r="M8" s="138">
        <f>CashFlow!M4</f>
        <v>234773.08235440252</v>
      </c>
      <c r="N8" s="234"/>
      <c r="O8" s="234"/>
    </row>
    <row r="9" spans="1:15">
      <c r="B9" s="4" t="s">
        <v>53</v>
      </c>
      <c r="C9" s="5"/>
      <c r="D9" s="5"/>
      <c r="E9" s="25"/>
      <c r="F9" s="202">
        <f>CashFlow!F5</f>
        <v>0</v>
      </c>
      <c r="G9" s="202">
        <f>CashFlow!G5</f>
        <v>0</v>
      </c>
      <c r="H9" s="202">
        <f>CashFlow!H5</f>
        <v>0</v>
      </c>
      <c r="I9" s="202">
        <f>CashFlow!I5</f>
        <v>0</v>
      </c>
      <c r="J9" s="202">
        <f>CashFlow!J5</f>
        <v>0</v>
      </c>
      <c r="K9" s="202">
        <f>CashFlow!K5</f>
        <v>0</v>
      </c>
      <c r="L9" s="202">
        <f>CashFlow!L5</f>
        <v>0</v>
      </c>
      <c r="M9" s="202">
        <f>CashFlow!M5</f>
        <v>0</v>
      </c>
      <c r="N9" s="234"/>
      <c r="O9" s="234"/>
    </row>
    <row r="10" spans="1:15">
      <c r="B10" s="4" t="s">
        <v>90</v>
      </c>
      <c r="C10" s="5"/>
      <c r="D10" s="5"/>
      <c r="E10" s="25"/>
      <c r="F10" s="202">
        <f>CashFlow!F6</f>
        <v>18816.061790776905</v>
      </c>
      <c r="G10" s="202">
        <f>CashFlow!G6</f>
        <v>21089.800575559144</v>
      </c>
      <c r="H10" s="202">
        <f>CashFlow!H6</f>
        <v>23676.366905074101</v>
      </c>
      <c r="I10" s="202">
        <f>CashFlow!I6</f>
        <v>26623.480639829766</v>
      </c>
      <c r="J10" s="202">
        <f>CashFlow!J6</f>
        <v>29986.768547383603</v>
      </c>
      <c r="K10" s="202">
        <f>CashFlow!K6</f>
        <v>33831.160287958104</v>
      </c>
      <c r="L10" s="202">
        <f>CashFlow!L6</f>
        <v>38232.542333539575</v>
      </c>
      <c r="M10" s="202">
        <f>CashFlow!M6</f>
        <v>43279.718954032985</v>
      </c>
      <c r="N10" s="234"/>
      <c r="O10" s="234"/>
    </row>
    <row r="11" spans="1:15">
      <c r="B11" s="4" t="s">
        <v>167</v>
      </c>
      <c r="C11" s="5"/>
      <c r="D11" s="5"/>
      <c r="E11" s="25"/>
      <c r="F11" s="202">
        <f>CashFlow!F7</f>
        <v>-4577.591070134411</v>
      </c>
      <c r="G11" s="202">
        <f>CashFlow!G7</f>
        <v>-5130.7486050517109</v>
      </c>
      <c r="H11" s="202">
        <f>CashFlow!H7</f>
        <v>-5760.0111502088403</v>
      </c>
      <c r="I11" s="202">
        <f>CashFlow!I7</f>
        <v>-6476.9880428708057</v>
      </c>
      <c r="J11" s="202">
        <f>CashFlow!J7</f>
        <v>-7295.2122208683868</v>
      </c>
      <c r="K11" s="202">
        <f>CashFlow!K7</f>
        <v>-8230.4798394292302</v>
      </c>
      <c r="L11" s="202">
        <f>CashFlow!L7</f>
        <v>-9301.2526383354852</v>
      </c>
      <c r="M11" s="202">
        <f>CashFlow!M7</f>
        <v>-10529.135012674087</v>
      </c>
      <c r="N11" s="234"/>
      <c r="O11" s="234"/>
    </row>
    <row r="12" spans="1:15">
      <c r="B12" s="4" t="s">
        <v>168</v>
      </c>
      <c r="E12" s="29"/>
      <c r="F12" s="202">
        <f>CashFlow!F8</f>
        <v>41915.296662690525</v>
      </c>
      <c r="G12" s="202">
        <f>CashFlow!G8</f>
        <v>46980.354205408192</v>
      </c>
      <c r="H12" s="202">
        <f>CashFlow!H8</f>
        <v>52742.276984195458</v>
      </c>
      <c r="I12" s="202">
        <f>CashFlow!I8</f>
        <v>59307.367376889219</v>
      </c>
      <c r="J12" s="202">
        <f>CashFlow!J8</f>
        <v>66799.541455328115</v>
      </c>
      <c r="K12" s="202">
        <f>CashFlow!K8</f>
        <v>75363.438730196678</v>
      </c>
      <c r="L12" s="202">
        <f>CashFlow!L8</f>
        <v>85168.106477238704</v>
      </c>
      <c r="M12" s="202">
        <f>CashFlow!M8</f>
        <v>96411.368096451159</v>
      </c>
      <c r="N12" s="234"/>
      <c r="O12" s="234"/>
    </row>
    <row r="13" spans="1:15">
      <c r="B13" s="4" t="s">
        <v>91</v>
      </c>
      <c r="E13" s="29"/>
      <c r="F13" s="135">
        <f>CashFlow!F12</f>
        <v>-126371.01668673361</v>
      </c>
      <c r="G13" s="135">
        <f>CashFlow!G12</f>
        <v>-162732.62802898444</v>
      </c>
      <c r="H13" s="135">
        <f>CashFlow!H12</f>
        <v>-179963.06735245971</v>
      </c>
      <c r="I13" s="135">
        <f>CashFlow!I12</f>
        <v>-199338.26412920794</v>
      </c>
      <c r="J13" s="135">
        <f>CashFlow!J12</f>
        <v>-221161.08846853065</v>
      </c>
      <c r="K13" s="135">
        <f>CashFlow!K12</f>
        <v>-245781.66293933356</v>
      </c>
      <c r="L13" s="135">
        <f>CashFlow!L12</f>
        <v>-273605.33637290722</v>
      </c>
      <c r="M13" s="135">
        <f>CashFlow!M12</f>
        <v>-305102.08477034426</v>
      </c>
      <c r="N13" s="135"/>
      <c r="O13" s="135"/>
    </row>
    <row r="14" spans="1:15">
      <c r="E14" s="65"/>
      <c r="F14" s="139"/>
      <c r="G14" s="139"/>
      <c r="H14" s="139"/>
      <c r="I14" s="139"/>
      <c r="J14" s="139"/>
      <c r="K14" s="139"/>
      <c r="L14" s="139"/>
      <c r="M14" s="139"/>
      <c r="N14" s="139"/>
      <c r="O14" s="139"/>
    </row>
    <row r="15" spans="1:15" s="11" customFormat="1">
      <c r="A15" s="26" t="s">
        <v>125</v>
      </c>
      <c r="B15" s="36" t="s">
        <v>92</v>
      </c>
      <c r="C15" s="36"/>
      <c r="D15" s="36"/>
      <c r="E15" s="36"/>
      <c r="F15" s="36">
        <f>SUM(F7:F13)</f>
        <v>615512.80851692241</v>
      </c>
      <c r="G15" s="36">
        <f t="shared" ref="G15:M15" si="1">SUM(G7:G13)</f>
        <v>589167.42203696491</v>
      </c>
      <c r="H15" s="36">
        <f t="shared" si="1"/>
        <v>613051.34023170336</v>
      </c>
      <c r="I15" s="36">
        <f t="shared" si="1"/>
        <v>652887.66886577639</v>
      </c>
      <c r="J15" s="19">
        <f t="shared" si="1"/>
        <v>706679.95232492441</v>
      </c>
      <c r="K15" s="19">
        <f t="shared" si="1"/>
        <v>773515.71320572891</v>
      </c>
      <c r="L15" s="19">
        <f t="shared" si="1"/>
        <v>853295.03664242616</v>
      </c>
      <c r="M15" s="20">
        <f t="shared" si="1"/>
        <v>946557.86547332397</v>
      </c>
    </row>
    <row r="16" spans="1:15">
      <c r="B16" s="68"/>
      <c r="C16" s="68"/>
      <c r="D16" s="68"/>
      <c r="E16" s="68"/>
      <c r="F16" s="68"/>
      <c r="G16" s="68"/>
      <c r="H16" s="68"/>
      <c r="I16" s="85"/>
      <c r="J16" s="85"/>
    </row>
    <row r="17" spans="3:8">
      <c r="C17" s="5"/>
      <c r="D17" s="5"/>
      <c r="E17" s="5"/>
      <c r="F17" s="5"/>
      <c r="G17" s="5"/>
      <c r="H17" s="5"/>
    </row>
    <row r="20" spans="3:8">
      <c r="C20" s="5"/>
      <c r="D20" s="5"/>
      <c r="E20" s="5"/>
      <c r="F20" s="5"/>
      <c r="G20" s="5"/>
      <c r="H20" s="5"/>
    </row>
    <row r="28" spans="3:8">
      <c r="C28" s="5"/>
      <c r="D28" s="5"/>
      <c r="E28" s="5"/>
      <c r="F28" s="5"/>
      <c r="G28" s="5"/>
      <c r="H28" s="5"/>
    </row>
    <row r="29" spans="3:8">
      <c r="C29" s="5"/>
      <c r="D29" s="5"/>
      <c r="E29" s="5"/>
      <c r="F29" s="5"/>
      <c r="G29" s="5"/>
      <c r="H29" s="5"/>
    </row>
    <row r="30" spans="3:8">
      <c r="C30" s="5"/>
      <c r="D30" s="5"/>
      <c r="E30" s="5"/>
      <c r="F30" s="5"/>
      <c r="G30" s="5"/>
      <c r="H30" s="5"/>
    </row>
  </sheetData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&amp;L&amp;8&amp;F &amp;A</oddHeader>
    <oddFooter>&amp;R&amp;8&amp;P of &amp;N&amp;L&amp;8© AMT Training 2008 - 2017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C759-7EE8-4F94-A92F-62A3DBDD70DA}">
  <sheetPr codeName="Sheet13"/>
  <dimension ref="A1:M15"/>
  <sheetViews>
    <sheetView showGridLines="0" topLeftCell="A13" zoomScaleNormal="100" workbookViewId="0">
      <selection activeCell="E4" sqref="E4"/>
    </sheetView>
  </sheetViews>
  <sheetFormatPr defaultColWidth="9" defaultRowHeight="15"/>
  <cols>
    <col min="1" max="1" width="2.7109375" style="4" customWidth="1"/>
    <col min="2" max="3" width="9" style="4"/>
    <col min="4" max="4" width="11" style="4" customWidth="1"/>
    <col min="5" max="5" width="8.28515625" style="4" customWidth="1"/>
    <col min="6" max="7" width="9" style="4"/>
    <col min="8" max="8" width="12.28515625" style="4" customWidth="1"/>
    <col min="9" max="9" width="10.140625" style="4" customWidth="1"/>
    <col min="10" max="10" width="14.28515625" style="4" bestFit="1" customWidth="1"/>
    <col min="11" max="11" width="11.42578125" style="4" customWidth="1"/>
    <col min="12" max="12" width="13.140625" style="4" customWidth="1"/>
    <col min="13" max="13" width="15" style="4" bestFit="1" customWidth="1"/>
    <col min="14" max="16384" width="9" style="4"/>
  </cols>
  <sheetData>
    <row r="1" spans="1:13" ht="19.5">
      <c r="A1" s="293" t="str">
        <f>CoName</f>
        <v>Fast Retailing</v>
      </c>
    </row>
    <row r="2" spans="1:13">
      <c r="G2" s="149"/>
    </row>
    <row r="3" spans="1:13">
      <c r="A3" s="29" t="s">
        <v>125</v>
      </c>
      <c r="B3" s="169" t="s">
        <v>101</v>
      </c>
      <c r="C3" s="170"/>
      <c r="D3" s="170"/>
      <c r="E3" s="171"/>
      <c r="F3" s="11"/>
      <c r="G3" s="79" t="s">
        <v>109</v>
      </c>
      <c r="H3" s="79" t="s">
        <v>104</v>
      </c>
      <c r="I3" s="79" t="s">
        <v>105</v>
      </c>
      <c r="J3" s="79" t="s">
        <v>106</v>
      </c>
      <c r="K3" s="79" t="s">
        <v>107</v>
      </c>
      <c r="L3" s="79" t="s">
        <v>112</v>
      </c>
      <c r="M3" s="79" t="s">
        <v>108</v>
      </c>
    </row>
    <row r="4" spans="1:13">
      <c r="A4" s="29"/>
      <c r="B4" s="296" t="s">
        <v>169</v>
      </c>
      <c r="C4" s="69"/>
      <c r="D4" s="74"/>
      <c r="E4" s="297">
        <f>Assumptions!E16</f>
        <v>0.29423401488531664</v>
      </c>
      <c r="G4" s="141"/>
      <c r="H4" s="142"/>
      <c r="I4" s="81"/>
      <c r="J4" s="82"/>
      <c r="K4" s="144"/>
      <c r="L4" s="159">
        <f>E4</f>
        <v>0.29423401488531664</v>
      </c>
      <c r="M4" s="145">
        <f>H4/((1+K4*(1-L4)))</f>
        <v>0</v>
      </c>
    </row>
    <row r="5" spans="1:13">
      <c r="A5" s="29"/>
      <c r="B5" s="69" t="s">
        <v>94</v>
      </c>
      <c r="C5" s="69"/>
      <c r="D5" s="74"/>
      <c r="E5" s="140">
        <v>8.0000000000000002E-3</v>
      </c>
      <c r="G5" s="141"/>
      <c r="H5" s="142"/>
      <c r="I5" s="81"/>
      <c r="J5" s="82"/>
      <c r="K5" s="144"/>
      <c r="L5" s="159">
        <f>L4</f>
        <v>0.29423401488531664</v>
      </c>
      <c r="M5" s="145">
        <f t="shared" ref="M5:M7" si="0">H5/((1+K5*(1-L5)))</f>
        <v>0</v>
      </c>
    </row>
    <row r="6" spans="1:13">
      <c r="A6" s="29"/>
      <c r="B6" s="69" t="s">
        <v>95</v>
      </c>
      <c r="C6" s="69"/>
      <c r="D6" s="74"/>
      <c r="E6" s="140">
        <v>0.05</v>
      </c>
      <c r="G6" s="141"/>
      <c r="H6" s="143"/>
      <c r="I6" s="83"/>
      <c r="J6" s="82"/>
      <c r="K6" s="144"/>
      <c r="L6" s="159">
        <f t="shared" ref="L6:L7" si="1">L5</f>
        <v>0.29423401488531664</v>
      </c>
      <c r="M6" s="145">
        <f t="shared" si="0"/>
        <v>0</v>
      </c>
    </row>
    <row r="7" spans="1:13">
      <c r="A7" s="29"/>
      <c r="B7" s="69" t="s">
        <v>96</v>
      </c>
      <c r="C7" s="69"/>
      <c r="D7" s="74"/>
      <c r="E7" s="240">
        <v>1.1499999999999999</v>
      </c>
      <c r="G7" s="141"/>
      <c r="H7" s="143"/>
      <c r="I7" s="83"/>
      <c r="J7" s="84"/>
      <c r="K7" s="144"/>
      <c r="L7" s="159">
        <f t="shared" si="1"/>
        <v>0.29423401488531664</v>
      </c>
      <c r="M7" s="145">
        <f t="shared" si="0"/>
        <v>0</v>
      </c>
    </row>
    <row r="8" spans="1:13">
      <c r="A8" s="29"/>
      <c r="B8" s="69" t="s">
        <v>97</v>
      </c>
      <c r="C8" s="69"/>
      <c r="D8" s="74"/>
      <c r="E8" s="140">
        <f>E5+E6*E7</f>
        <v>6.5500000000000003E-2</v>
      </c>
      <c r="L8" s="68"/>
    </row>
    <row r="9" spans="1:13">
      <c r="A9" s="29"/>
      <c r="B9" s="70" t="s">
        <v>98</v>
      </c>
      <c r="C9" s="70"/>
      <c r="D9" s="75"/>
      <c r="E9" s="146">
        <v>1</v>
      </c>
      <c r="G9" s="4" t="s">
        <v>110</v>
      </c>
      <c r="L9" s="29"/>
      <c r="M9" s="239">
        <f>AVERAGE(M4:M7)</f>
        <v>0</v>
      </c>
    </row>
    <row r="10" spans="1:13">
      <c r="A10" s="29"/>
      <c r="B10" s="71" t="s">
        <v>99</v>
      </c>
      <c r="C10" s="71"/>
      <c r="D10" s="76"/>
      <c r="E10" s="147">
        <v>0</v>
      </c>
      <c r="M10" s="68"/>
    </row>
    <row r="11" spans="1:13">
      <c r="A11" s="29"/>
      <c r="B11" s="168" t="s">
        <v>183</v>
      </c>
      <c r="C11" s="72"/>
      <c r="D11" s="77"/>
      <c r="E11" s="148">
        <v>0</v>
      </c>
      <c r="G11" s="4" t="s">
        <v>111</v>
      </c>
      <c r="L11" s="29"/>
      <c r="M11" s="239">
        <f>M9*(1+E10*(1-E4))</f>
        <v>0</v>
      </c>
    </row>
    <row r="12" spans="1:13">
      <c r="A12" s="29"/>
      <c r="B12" s="73" t="s">
        <v>100</v>
      </c>
      <c r="C12" s="73"/>
      <c r="D12" s="78"/>
      <c r="E12" s="148">
        <f>E11*(1-E4)</f>
        <v>0</v>
      </c>
      <c r="M12" s="68"/>
    </row>
    <row r="13" spans="1:13" s="11" customFormat="1">
      <c r="A13" s="26" t="s">
        <v>125</v>
      </c>
      <c r="B13" s="169" t="s">
        <v>101</v>
      </c>
      <c r="C13" s="170"/>
      <c r="D13" s="171"/>
      <c r="E13" s="165">
        <f>WACC!E8*WACC!E9+WACC!E12*WACC!E10</f>
        <v>6.5500000000000003E-2</v>
      </c>
      <c r="F13" s="4"/>
    </row>
    <row r="14" spans="1:13" s="11" customFormat="1">
      <c r="A14" s="26"/>
      <c r="B14" s="79" t="s">
        <v>102</v>
      </c>
      <c r="C14" s="79"/>
      <c r="D14" s="117"/>
      <c r="E14" s="150">
        <v>0.03</v>
      </c>
      <c r="F14" s="4"/>
    </row>
    <row r="15" spans="1:13">
      <c r="B15" s="68"/>
      <c r="C15" s="68"/>
      <c r="D15" s="68"/>
      <c r="E15" s="68"/>
    </row>
  </sheetData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40EB-072D-4DA9-B457-4757931D9A4D}">
  <sheetPr codeName="Sheet14"/>
  <dimension ref="A1:W45"/>
  <sheetViews>
    <sheetView showGridLines="0" zoomScaleNormal="100" workbookViewId="0">
      <selection activeCell="F28" sqref="F28"/>
    </sheetView>
  </sheetViews>
  <sheetFormatPr defaultColWidth="9" defaultRowHeight="15"/>
  <cols>
    <col min="1" max="1" width="2" style="4" customWidth="1"/>
    <col min="2" max="2" width="22.42578125" style="4" bestFit="1" customWidth="1"/>
    <col min="3" max="3" width="12.7109375" style="4" customWidth="1"/>
    <col min="4" max="4" width="15.85546875" style="4" customWidth="1"/>
    <col min="5" max="5" width="10.42578125" style="4" customWidth="1"/>
    <col min="6" max="6" width="12.140625" style="4" customWidth="1"/>
    <col min="7" max="7" width="12.42578125" style="4" bestFit="1" customWidth="1"/>
    <col min="8" max="10" width="11.7109375" style="4" customWidth="1"/>
    <col min="11" max="11" width="13.5703125" style="4" bestFit="1" customWidth="1"/>
    <col min="12" max="12" width="11.7109375" style="4" customWidth="1"/>
    <col min="13" max="16384" width="9" style="4"/>
  </cols>
  <sheetData>
    <row r="1" spans="1:23" ht="19.5">
      <c r="A1" s="293" t="str">
        <f>CoName</f>
        <v>Fast Retailing</v>
      </c>
      <c r="B1" s="3"/>
      <c r="C1" s="3"/>
      <c r="D1" s="43" t="s">
        <v>1</v>
      </c>
      <c r="E1" s="43" t="s">
        <v>1</v>
      </c>
      <c r="F1" s="43" t="s">
        <v>1</v>
      </c>
      <c r="G1" s="43" t="s">
        <v>1</v>
      </c>
      <c r="H1" s="43" t="s">
        <v>1</v>
      </c>
      <c r="I1" s="43" t="s">
        <v>1</v>
      </c>
      <c r="J1" s="43" t="s">
        <v>1</v>
      </c>
      <c r="K1" s="43" t="s">
        <v>1</v>
      </c>
      <c r="L1" s="43"/>
      <c r="M1" s="43"/>
    </row>
    <row r="2" spans="1:23">
      <c r="A2" s="79" t="s">
        <v>113</v>
      </c>
      <c r="B2" s="21"/>
      <c r="C2" s="44"/>
      <c r="D2" s="79">
        <v>0.5</v>
      </c>
      <c r="E2" s="79">
        <f>D2+1</f>
        <v>1.5</v>
      </c>
      <c r="F2" s="79">
        <f t="shared" ref="F2:H2" si="0">E2+1</f>
        <v>2.5</v>
      </c>
      <c r="G2" s="79">
        <f t="shared" si="0"/>
        <v>3.5</v>
      </c>
      <c r="H2" s="79">
        <f t="shared" si="0"/>
        <v>4.5</v>
      </c>
      <c r="I2" s="79">
        <f t="shared" ref="I2" si="1">H2+1</f>
        <v>5.5</v>
      </c>
      <c r="J2" s="79">
        <f t="shared" ref="J2" si="2">I2+1</f>
        <v>6.5</v>
      </c>
      <c r="K2" s="79">
        <f t="shared" ref="K2" si="3">J2+1</f>
        <v>7.5</v>
      </c>
      <c r="L2" s="166"/>
      <c r="M2" s="166"/>
      <c r="N2" s="166"/>
    </row>
    <row r="3" spans="1:23">
      <c r="D3" s="8">
        <f>1/(1+$K$16)^'DCF Model'!D2</f>
        <v>0.9687757807532158</v>
      </c>
      <c r="E3" s="8">
        <f>1/(1+$K$16)^'DCF Model'!E2</f>
        <v>0.90922175575149289</v>
      </c>
      <c r="F3" s="8">
        <f>1/(1+$K$16)^'DCF Model'!F2</f>
        <v>0.85332872430923767</v>
      </c>
      <c r="G3" s="8">
        <f>1/(1+$K$16)^'DCF Model'!G2</f>
        <v>0.80087163238783443</v>
      </c>
      <c r="H3" s="8">
        <f>1/(1+$K$16)^'DCF Model'!H2</f>
        <v>0.75163926080510035</v>
      </c>
      <c r="I3" s="8">
        <f>1/(1+$K$16)^'DCF Model'!I2</f>
        <v>0.70543337475842338</v>
      </c>
      <c r="J3" s="8">
        <f>1/(1+$K$16)^'DCF Model'!J2</f>
        <v>0.66206792562967942</v>
      </c>
      <c r="K3" s="8">
        <f>1/(1+$K$16)^'DCF Model'!K2</f>
        <v>0.62136830185798164</v>
      </c>
    </row>
    <row r="4" spans="1:23">
      <c r="D4" s="4">
        <f>'Free Cash Flow'!F15*'DCF Model'!D3</f>
        <v>596293.90163458616</v>
      </c>
      <c r="E4" s="4">
        <f>'Free Cash Flow'!G15*'DCF Model'!E3</f>
        <v>535683.83789603005</v>
      </c>
      <c r="F4" s="4">
        <f>'Free Cash Flow'!H15*'DCF Model'!F3</f>
        <v>523134.31809598784</v>
      </c>
      <c r="G4" s="4">
        <f>'Free Cash Flow'!I15*'DCF Model'!G3</f>
        <v>522879.21313042223</v>
      </c>
      <c r="H4" s="4">
        <f>'Free Cash Flow'!J15*'DCF Model'!H3</f>
        <v>531168.39699128969</v>
      </c>
      <c r="I4" s="4">
        <f>'Free Cash Flow'!K15*'DCF Model'!I3</f>
        <v>545663.79999538616</v>
      </c>
      <c r="J4" s="4">
        <f>'Free Cash Flow'!L15*'DCF Model'!J3</f>
        <v>564939.27485995239</v>
      </c>
      <c r="K4" s="4">
        <f>'Free Cash Flow'!M15*'DCF Model'!K3</f>
        <v>588161.0534794752</v>
      </c>
    </row>
    <row r="5" spans="1:23">
      <c r="G5" s="149"/>
      <c r="K5" s="4">
        <f>K4*(1+WACC!E14)/(wacc-WACC!E14)</f>
        <v>17064954.509404488</v>
      </c>
    </row>
    <row r="6" spans="1:23">
      <c r="A6" s="79" t="s">
        <v>114</v>
      </c>
      <c r="B6" s="21"/>
      <c r="C6" s="44"/>
      <c r="D6" s="87"/>
      <c r="E6" s="79" t="s">
        <v>174</v>
      </c>
      <c r="F6" s="21"/>
      <c r="G6" s="44"/>
      <c r="H6" s="87" t="s">
        <v>170</v>
      </c>
    </row>
    <row r="7" spans="1:23">
      <c r="B7" s="4" t="s">
        <v>115</v>
      </c>
      <c r="C7" s="4">
        <f>SUM(D4:K4)</f>
        <v>4407923.7960831299</v>
      </c>
      <c r="E7" s="4" t="s">
        <v>115</v>
      </c>
      <c r="G7" s="4">
        <f>C7</f>
        <v>4407923.7960831299</v>
      </c>
    </row>
    <row r="8" spans="1:23">
      <c r="B8" s="4" t="s">
        <v>116</v>
      </c>
      <c r="C8" s="4">
        <f>K5*K3</f>
        <v>10603621.804792373</v>
      </c>
      <c r="E8" s="4" t="s">
        <v>175</v>
      </c>
      <c r="G8" s="4">
        <f>G10*IncState!M23*'DCF Model'!K3</f>
        <v>9274485.7137729023</v>
      </c>
    </row>
    <row r="9" spans="1:23">
      <c r="B9" s="4" t="s">
        <v>117</v>
      </c>
      <c r="C9" s="4">
        <f>SUM(C7:C8)</f>
        <v>15011545.600875502</v>
      </c>
      <c r="E9" s="4" t="s">
        <v>117</v>
      </c>
      <c r="G9" s="4">
        <f>SUM(G7:G8)</f>
        <v>13682409.509856032</v>
      </c>
      <c r="U9" s="49"/>
      <c r="V9" s="49"/>
      <c r="W9" s="49"/>
    </row>
    <row r="10" spans="1:23">
      <c r="C10" s="86"/>
      <c r="E10" s="4" t="s">
        <v>118</v>
      </c>
      <c r="G10" s="86">
        <v>10</v>
      </c>
      <c r="T10" s="49"/>
    </row>
    <row r="11" spans="1:23">
      <c r="I11" s="166"/>
      <c r="T11" s="49"/>
    </row>
    <row r="12" spans="1:23">
      <c r="B12" s="29" t="s">
        <v>119</v>
      </c>
      <c r="C12" s="39">
        <f>MAIN!F7</f>
        <v>1800229.2328767122</v>
      </c>
      <c r="E12" s="29" t="s">
        <v>119</v>
      </c>
      <c r="F12" s="163"/>
      <c r="G12" s="39">
        <f>C12</f>
        <v>1800229.2328767122</v>
      </c>
      <c r="I12" s="166"/>
      <c r="T12" s="49"/>
    </row>
    <row r="13" spans="1:23">
      <c r="B13" s="29" t="s">
        <v>120</v>
      </c>
      <c r="C13" s="39">
        <f>MAIN!F8</f>
        <v>0</v>
      </c>
      <c r="E13" s="29" t="s">
        <v>120</v>
      </c>
      <c r="F13" s="163"/>
      <c r="G13" s="39">
        <f t="shared" ref="G13:G14" si="4">C13</f>
        <v>0</v>
      </c>
      <c r="T13" s="49"/>
    </row>
    <row r="14" spans="1:23">
      <c r="B14" s="29" t="s">
        <v>121</v>
      </c>
      <c r="C14" s="39">
        <f>MAIN!F9</f>
        <v>54385</v>
      </c>
      <c r="E14" s="4" t="s">
        <v>121</v>
      </c>
      <c r="F14" s="29"/>
      <c r="G14" s="39">
        <f t="shared" si="4"/>
        <v>54385</v>
      </c>
      <c r="T14" s="49"/>
    </row>
    <row r="15" spans="1:23">
      <c r="B15" s="4" t="s">
        <v>122</v>
      </c>
      <c r="C15" s="68">
        <f>C9+C12-C14</f>
        <v>16757389.833752215</v>
      </c>
      <c r="E15" s="4" t="s">
        <v>122</v>
      </c>
      <c r="G15" s="68">
        <f>G9+G12-G14</f>
        <v>15428253.742732745</v>
      </c>
    </row>
    <row r="16" spans="1:23">
      <c r="I16" s="79" t="s">
        <v>101</v>
      </c>
      <c r="J16" s="79"/>
      <c r="K16" s="368">
        <f>wacc</f>
        <v>6.5500000000000003E-2</v>
      </c>
    </row>
    <row r="17" spans="1:17">
      <c r="B17" s="4" t="s">
        <v>123</v>
      </c>
      <c r="C17" s="4">
        <f>MAIN!F5</f>
        <v>318.22096800000003</v>
      </c>
      <c r="E17" s="4" t="s">
        <v>123</v>
      </c>
      <c r="G17" s="4">
        <f>C17</f>
        <v>318.22096800000003</v>
      </c>
      <c r="I17" s="79" t="s">
        <v>102</v>
      </c>
      <c r="J17" s="79"/>
      <c r="K17" s="369">
        <f>WACC!E14</f>
        <v>0.03</v>
      </c>
    </row>
    <row r="18" spans="1:17">
      <c r="A18" s="4" t="s">
        <v>125</v>
      </c>
      <c r="B18" s="151" t="s">
        <v>124</v>
      </c>
      <c r="C18" s="344">
        <f>C15/C17</f>
        <v>52659.60297673475</v>
      </c>
      <c r="E18" s="151" t="s">
        <v>124</v>
      </c>
      <c r="F18" s="163"/>
      <c r="G18" s="344">
        <f>G15/G17</f>
        <v>48482.83203868811</v>
      </c>
    </row>
    <row r="19" spans="1:17">
      <c r="C19" s="23"/>
    </row>
    <row r="20" spans="1:17">
      <c r="A20" s="118" t="s">
        <v>148</v>
      </c>
      <c r="B20" s="21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236"/>
    </row>
    <row r="21" spans="1:17">
      <c r="B21" s="119"/>
      <c r="C21" s="119"/>
      <c r="D21" s="119"/>
      <c r="E21" s="119"/>
      <c r="F21" s="119"/>
      <c r="G21" s="119"/>
      <c r="H21" s="119"/>
      <c r="I21" s="119"/>
    </row>
    <row r="22" spans="1:17">
      <c r="B22" s="119"/>
      <c r="C22" s="119" t="s">
        <v>149</v>
      </c>
      <c r="D22" s="119"/>
      <c r="E22" s="120">
        <v>5.0000000000000001E-3</v>
      </c>
      <c r="F22" s="119"/>
      <c r="G22" s="119"/>
      <c r="J22" s="119" t="s">
        <v>149</v>
      </c>
      <c r="K22" s="119"/>
      <c r="L22" s="120">
        <v>5.0000000000000001E-3</v>
      </c>
    </row>
    <row r="23" spans="1:17">
      <c r="B23" s="119"/>
      <c r="C23" s="119" t="s">
        <v>150</v>
      </c>
      <c r="D23" s="119"/>
      <c r="E23" s="152">
        <v>2.5000000000000001E-3</v>
      </c>
      <c r="F23" s="119"/>
      <c r="G23" s="119"/>
      <c r="J23" s="119" t="s">
        <v>173</v>
      </c>
      <c r="K23" s="119"/>
      <c r="L23" s="162">
        <v>1</v>
      </c>
    </row>
    <row r="24" spans="1:17">
      <c r="B24" s="119"/>
      <c r="C24" s="119"/>
      <c r="D24" s="119"/>
      <c r="E24" s="175"/>
      <c r="F24" s="119"/>
      <c r="G24" s="119"/>
      <c r="J24" s="119"/>
      <c r="K24" s="119"/>
      <c r="L24" s="174"/>
    </row>
    <row r="25" spans="1:17">
      <c r="A25" s="155" t="s">
        <v>176</v>
      </c>
      <c r="B25" s="16"/>
      <c r="C25" s="153"/>
      <c r="D25" s="153"/>
      <c r="E25" s="154"/>
      <c r="F25" s="153"/>
      <c r="G25" s="153"/>
      <c r="H25" s="153"/>
      <c r="I25" s="153"/>
      <c r="J25" s="164"/>
      <c r="K25" s="16"/>
      <c r="L25" s="16"/>
      <c r="M25" s="16"/>
      <c r="N25" s="16"/>
      <c r="O25" s="16"/>
      <c r="P25" s="16"/>
    </row>
    <row r="26" spans="1:17">
      <c r="B26" s="119"/>
      <c r="C26" s="119"/>
      <c r="D26" s="119"/>
      <c r="E26" s="119"/>
      <c r="F26" s="119"/>
      <c r="H26" s="119"/>
      <c r="I26" s="177"/>
      <c r="P26" s="177"/>
    </row>
    <row r="27" spans="1:17">
      <c r="B27" s="166"/>
      <c r="C27" s="173"/>
      <c r="D27" s="119"/>
      <c r="E27" s="274"/>
      <c r="F27" s="275"/>
      <c r="G27" s="274" t="s">
        <v>231</v>
      </c>
      <c r="I27" s="119"/>
      <c r="J27" s="274"/>
    </row>
    <row r="28" spans="1:17">
      <c r="B28" s="166"/>
      <c r="C28" s="276"/>
      <c r="E28" s="372">
        <f>C18</f>
        <v>52659.60297673475</v>
      </c>
      <c r="F28" s="277">
        <v>2.75E-2</v>
      </c>
      <c r="G28" s="277">
        <f>K17</f>
        <v>0.03</v>
      </c>
      <c r="H28" s="277">
        <v>3.2500000000000001E-2</v>
      </c>
      <c r="I28" s="177"/>
      <c r="J28" s="177"/>
      <c r="N28" s="278"/>
      <c r="P28" s="177"/>
    </row>
    <row r="29" spans="1:17">
      <c r="B29" s="166"/>
      <c r="C29" s="276"/>
      <c r="E29" s="245">
        <f>E30+$E$22</f>
        <v>7.5500000000000012E-2</v>
      </c>
      <c r="F29" s="371">
        <f t="dataTable" ref="F29:H33" dt2D="1" dtr="1" r1="K17" r2="K16"/>
        <v>47795.674349240959</v>
      </c>
      <c r="G29" s="371">
        <v>47795.674349240959</v>
      </c>
      <c r="H29" s="371">
        <v>47795.674349240959</v>
      </c>
      <c r="I29" s="257"/>
      <c r="J29" s="257"/>
      <c r="N29" s="279"/>
      <c r="O29" s="49"/>
      <c r="P29" s="49"/>
      <c r="Q29" s="49"/>
    </row>
    <row r="30" spans="1:17">
      <c r="E30" s="245">
        <f>E31+$E$22</f>
        <v>7.0500000000000007E-2</v>
      </c>
      <c r="F30" s="371">
        <v>50142.511116076166</v>
      </c>
      <c r="G30" s="371">
        <v>50142.511116076166</v>
      </c>
      <c r="H30" s="371">
        <v>50142.511116076166</v>
      </c>
      <c r="I30" s="280"/>
      <c r="J30" s="280"/>
      <c r="N30" s="281"/>
      <c r="O30" s="173"/>
      <c r="P30" s="173"/>
      <c r="Q30" s="173"/>
    </row>
    <row r="31" spans="1:17">
      <c r="D31" s="4" t="s">
        <v>232</v>
      </c>
      <c r="E31" s="318">
        <f>wacc</f>
        <v>6.5500000000000003E-2</v>
      </c>
      <c r="F31" s="371">
        <v>52659.60297673475</v>
      </c>
      <c r="G31" s="371">
        <v>52659.60297673475</v>
      </c>
      <c r="H31" s="371">
        <v>52659.60297673475</v>
      </c>
      <c r="I31" s="260"/>
      <c r="J31" s="260"/>
      <c r="K31" s="282"/>
      <c r="M31" s="49"/>
      <c r="N31" s="173"/>
      <c r="O31" s="86"/>
      <c r="P31" s="86"/>
      <c r="Q31" s="86"/>
    </row>
    <row r="32" spans="1:17">
      <c r="E32" s="8">
        <f>E31-$E$22</f>
        <v>6.0500000000000005E-2</v>
      </c>
      <c r="F32" s="371">
        <v>55360.715746726033</v>
      </c>
      <c r="G32" s="371">
        <v>55360.715746726033</v>
      </c>
      <c r="H32" s="371">
        <v>55360.715746726033</v>
      </c>
      <c r="I32" s="260"/>
      <c r="J32" s="260"/>
      <c r="K32" s="282"/>
      <c r="M32" s="49"/>
      <c r="N32" s="173"/>
      <c r="O32" s="86"/>
      <c r="P32" s="86"/>
      <c r="Q32" s="86"/>
    </row>
    <row r="33" spans="2:17">
      <c r="D33" s="49"/>
      <c r="E33" s="8">
        <f>E32-0.005</f>
        <v>5.5500000000000008E-2</v>
      </c>
      <c r="F33" s="371">
        <v>58260.816193318329</v>
      </c>
      <c r="G33" s="371">
        <v>58260.816193318329</v>
      </c>
      <c r="H33" s="371">
        <v>58260.816193318329</v>
      </c>
      <c r="I33" s="260"/>
      <c r="J33" s="260"/>
      <c r="K33" s="282"/>
      <c r="L33" s="149"/>
      <c r="M33" s="49"/>
      <c r="N33" s="173"/>
      <c r="O33" s="86"/>
      <c r="P33" s="86"/>
      <c r="Q33" s="86"/>
    </row>
    <row r="34" spans="2:17">
      <c r="D34" s="49"/>
      <c r="E34" s="245"/>
      <c r="F34" s="257"/>
      <c r="G34" s="280"/>
      <c r="H34" s="260"/>
      <c r="I34" s="260"/>
      <c r="J34" s="260"/>
      <c r="K34" s="278"/>
      <c r="M34" s="49"/>
      <c r="N34" s="173"/>
      <c r="O34" s="86"/>
      <c r="P34" s="86"/>
      <c r="Q34" s="86"/>
    </row>
    <row r="35" spans="2:17">
      <c r="D35" s="317"/>
      <c r="E35" s="317">
        <v>6.5500000000000003E-2</v>
      </c>
      <c r="F35" s="370"/>
      <c r="G35" s="257"/>
      <c r="H35" s="260"/>
      <c r="I35" s="260"/>
      <c r="J35" s="260"/>
      <c r="K35" s="278"/>
      <c r="M35" s="49"/>
      <c r="N35" s="49"/>
      <c r="O35" s="86"/>
      <c r="P35" s="86"/>
      <c r="Q35" s="86"/>
    </row>
    <row r="36" spans="2:17">
      <c r="B36" s="283"/>
      <c r="C36" s="283"/>
      <c r="D36" s="317"/>
      <c r="E36" s="317"/>
      <c r="F36" s="373"/>
      <c r="G36" s="284"/>
    </row>
    <row r="37" spans="2:17">
      <c r="B37" s="119"/>
      <c r="C37" s="119"/>
      <c r="D37" s="119"/>
      <c r="E37" s="119"/>
      <c r="F37" s="275"/>
      <c r="G37" s="275"/>
      <c r="H37" s="275"/>
      <c r="I37" s="177"/>
      <c r="J37" s="177"/>
      <c r="P37" s="177"/>
    </row>
    <row r="38" spans="2:17">
      <c r="F38" s="264"/>
      <c r="G38" s="264"/>
      <c r="H38" s="257"/>
      <c r="I38" s="257"/>
      <c r="J38" s="257"/>
      <c r="M38" s="177"/>
      <c r="O38" s="86"/>
      <c r="P38" s="86"/>
      <c r="Q38" s="86"/>
    </row>
    <row r="39" spans="2:17">
      <c r="E39" s="49"/>
      <c r="F39" s="251"/>
      <c r="G39" s="251"/>
      <c r="H39" s="257"/>
      <c r="I39" s="257"/>
      <c r="J39" s="257"/>
      <c r="L39" s="86"/>
      <c r="M39" s="86"/>
      <c r="N39" s="290"/>
      <c r="O39" s="86"/>
      <c r="P39" s="86"/>
      <c r="Q39" s="86"/>
    </row>
    <row r="40" spans="2:17">
      <c r="E40" s="49"/>
      <c r="F40" s="257"/>
      <c r="G40" s="257"/>
      <c r="H40" s="251"/>
      <c r="I40" s="251"/>
      <c r="J40" s="251"/>
      <c r="K40" s="49"/>
      <c r="M40" s="49"/>
      <c r="N40" s="49"/>
      <c r="O40" s="285"/>
      <c r="P40" s="285"/>
      <c r="Q40" s="285"/>
    </row>
    <row r="41" spans="2:17">
      <c r="D41" s="8"/>
      <c r="E41" s="49"/>
      <c r="F41" s="257"/>
      <c r="G41" s="257"/>
      <c r="H41" s="251"/>
      <c r="I41" s="251"/>
      <c r="J41" s="251"/>
      <c r="K41" s="8"/>
      <c r="L41" s="49"/>
      <c r="M41" s="49"/>
      <c r="N41" s="49"/>
      <c r="O41" s="285"/>
      <c r="P41" s="285"/>
      <c r="Q41" s="285"/>
    </row>
    <row r="42" spans="2:17">
      <c r="D42" s="8"/>
      <c r="E42" s="149"/>
      <c r="F42" s="257"/>
      <c r="G42" s="257"/>
      <c r="H42" s="251"/>
      <c r="I42" s="251"/>
      <c r="J42" s="251"/>
      <c r="K42" s="8"/>
      <c r="L42" s="149"/>
      <c r="M42" s="49"/>
      <c r="N42" s="49"/>
      <c r="O42" s="285"/>
      <c r="P42" s="285"/>
      <c r="Q42" s="285"/>
    </row>
    <row r="43" spans="2:17">
      <c r="D43" s="8"/>
      <c r="E43" s="49"/>
      <c r="F43" s="257"/>
      <c r="G43" s="257"/>
      <c r="H43" s="251"/>
      <c r="I43" s="251"/>
      <c r="J43" s="251"/>
      <c r="K43" s="8"/>
      <c r="L43" s="49"/>
      <c r="M43" s="49"/>
      <c r="N43" s="49"/>
      <c r="O43" s="285"/>
      <c r="P43" s="285"/>
      <c r="Q43" s="285"/>
    </row>
    <row r="44" spans="2:17">
      <c r="D44" s="8"/>
      <c r="E44" s="8"/>
      <c r="F44" s="257"/>
      <c r="G44" s="257"/>
      <c r="H44" s="251"/>
      <c r="I44" s="251"/>
      <c r="J44" s="251"/>
      <c r="K44" s="8"/>
      <c r="L44" s="49"/>
      <c r="M44" s="49"/>
      <c r="N44" s="49"/>
      <c r="O44" s="285"/>
      <c r="P44" s="285"/>
      <c r="Q44" s="285"/>
    </row>
    <row r="45" spans="2:17">
      <c r="D45" s="8"/>
      <c r="E45" s="8"/>
      <c r="F45" s="86"/>
      <c r="G45" s="86"/>
      <c r="H45" s="86"/>
      <c r="J45" s="8"/>
      <c r="K45" s="8"/>
      <c r="L45" s="49"/>
      <c r="M45" s="49"/>
      <c r="N45" s="49"/>
    </row>
  </sheetData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F967-9893-4C24-9902-E3B112D5E747}">
  <sheetPr codeName="Sheet15"/>
  <dimension ref="A1:K36"/>
  <sheetViews>
    <sheetView showGridLines="0" zoomScaleNormal="100" workbookViewId="0">
      <selection activeCell="F7" sqref="F7"/>
    </sheetView>
  </sheetViews>
  <sheetFormatPr defaultColWidth="9.140625" defaultRowHeight="15"/>
  <cols>
    <col min="1" max="1" width="2.140625" style="4" bestFit="1" customWidth="1"/>
    <col min="2" max="2" width="22.7109375" style="4" bestFit="1" customWidth="1"/>
    <col min="3" max="4" width="15.42578125" style="4" customWidth="1"/>
    <col min="5" max="5" width="14.42578125" style="4" bestFit="1" customWidth="1"/>
    <col min="6" max="6" width="12.42578125" style="4" customWidth="1"/>
    <col min="7" max="7" width="12.140625" style="4" bestFit="1" customWidth="1"/>
    <col min="8" max="8" width="15.28515625" style="4" customWidth="1"/>
    <col min="9" max="11" width="11.42578125" style="4" bestFit="1" customWidth="1"/>
    <col min="12" max="16384" width="9.140625" style="4"/>
  </cols>
  <sheetData>
    <row r="1" spans="1:11" ht="19.5">
      <c r="A1" s="293" t="str">
        <f>CoName</f>
        <v>Fast Retailing</v>
      </c>
    </row>
    <row r="2" spans="1:11" ht="13.5" customHeight="1">
      <c r="B2" s="11" t="s">
        <v>223</v>
      </c>
      <c r="C2" s="11"/>
      <c r="D2" s="11"/>
    </row>
    <row r="3" spans="1:11" ht="16.5" customHeight="1">
      <c r="A3" s="4" t="s">
        <v>125</v>
      </c>
      <c r="B3" s="241" t="s">
        <v>220</v>
      </c>
      <c r="C3" s="241" t="s">
        <v>226</v>
      </c>
      <c r="D3" s="241" t="s">
        <v>227</v>
      </c>
      <c r="E3" s="241" t="s">
        <v>221</v>
      </c>
      <c r="F3" s="242" t="s">
        <v>222</v>
      </c>
      <c r="G3" s="241" t="s">
        <v>117</v>
      </c>
      <c r="H3" s="360"/>
    </row>
    <row r="4" spans="1:11">
      <c r="A4" s="29"/>
      <c r="B4" s="4" t="s">
        <v>196</v>
      </c>
      <c r="C4" s="8">
        <f>Revenue!K5</f>
        <v>0.30191477266708799</v>
      </c>
      <c r="D4" s="135">
        <f>C4*IncState!$E$21</f>
        <v>65362.132964243217</v>
      </c>
      <c r="E4" s="4">
        <f>184451+D4</f>
        <v>249813.13296424321</v>
      </c>
      <c r="F4" s="86">
        <v>20</v>
      </c>
      <c r="G4" s="349">
        <f>F4*E4</f>
        <v>4996262.6592848646</v>
      </c>
    </row>
    <row r="5" spans="1:11">
      <c r="A5" s="29"/>
      <c r="B5" s="4" t="s">
        <v>197</v>
      </c>
      <c r="C5" s="8">
        <f>Revenue!K8</f>
        <v>0.56207652028995225</v>
      </c>
      <c r="D5" s="135">
        <f>C5*IncState!$E$21</f>
        <v>121685.07003061235</v>
      </c>
      <c r="E5" s="4">
        <f>309319+D5</f>
        <v>431004.07003061235</v>
      </c>
      <c r="F5" s="86">
        <v>25</v>
      </c>
      <c r="G5" s="349">
        <f t="shared" ref="G5:G7" si="0">F5*E5</f>
        <v>10775101.750765309</v>
      </c>
    </row>
    <row r="6" spans="1:11">
      <c r="A6" s="29"/>
      <c r="B6" s="4" t="s">
        <v>198</v>
      </c>
      <c r="C6" s="8">
        <f>Revenue!K11</f>
        <v>9.730426513287127E-2</v>
      </c>
      <c r="D6" s="135">
        <f>C6*IncState!$E$21</f>
        <v>21065.594967145567</v>
      </c>
      <c r="E6" s="4">
        <f>30506+D6</f>
        <v>51571.594967145567</v>
      </c>
      <c r="F6" s="86">
        <v>30</v>
      </c>
      <c r="G6" s="349">
        <f t="shared" si="0"/>
        <v>1547147.849014367</v>
      </c>
    </row>
    <row r="7" spans="1:11">
      <c r="A7" s="29"/>
      <c r="B7" s="4" t="s">
        <v>224</v>
      </c>
      <c r="C7" s="8">
        <f>Revenue!K14</f>
        <v>3.8704441910088427E-2</v>
      </c>
      <c r="D7" s="135">
        <f>C7*IncState!$E$21</f>
        <v>8379.2020379988644</v>
      </c>
      <c r="E7" s="4">
        <f>D7-950</f>
        <v>7429.2020379988644</v>
      </c>
      <c r="F7" s="86">
        <v>20</v>
      </c>
      <c r="G7" s="349">
        <f t="shared" si="0"/>
        <v>148584.0407599773</v>
      </c>
    </row>
    <row r="8" spans="1:11">
      <c r="A8" s="29" t="s">
        <v>125</v>
      </c>
      <c r="B8" s="362" t="s">
        <v>184</v>
      </c>
      <c r="C8" s="362"/>
      <c r="D8" s="362"/>
      <c r="E8" s="362"/>
      <c r="F8" s="363" t="s">
        <v>228</v>
      </c>
      <c r="G8" s="364">
        <f>SUM(G4:G7)</f>
        <v>17467096.299824517</v>
      </c>
    </row>
    <row r="9" spans="1:11">
      <c r="B9" s="350"/>
      <c r="C9" s="350"/>
      <c r="D9" s="350"/>
      <c r="E9" s="367"/>
      <c r="F9" s="365" t="s">
        <v>229</v>
      </c>
      <c r="G9" s="366">
        <f>(G8+MAIN!F7-MAIN!F9)/MAIN!F5</f>
        <v>60376.098575318349</v>
      </c>
    </row>
    <row r="10" spans="1:11">
      <c r="A10" s="352"/>
      <c r="B10" s="353"/>
      <c r="C10" s="353"/>
      <c r="D10" s="353"/>
      <c r="E10" s="354"/>
      <c r="F10" s="361"/>
      <c r="G10" s="355"/>
      <c r="H10" s="356"/>
      <c r="I10" s="356"/>
      <c r="J10" s="176"/>
      <c r="K10" s="176"/>
    </row>
    <row r="11" spans="1:11">
      <c r="A11" s="357"/>
      <c r="B11" s="352"/>
      <c r="C11" s="352"/>
      <c r="D11" s="352"/>
      <c r="E11" s="352"/>
      <c r="F11" s="358"/>
      <c r="G11" s="358"/>
      <c r="H11" s="359"/>
      <c r="I11" s="352"/>
    </row>
    <row r="12" spans="1:11">
      <c r="A12" s="149"/>
      <c r="B12" s="312"/>
      <c r="C12" s="312"/>
      <c r="D12" s="312"/>
      <c r="E12" s="351"/>
      <c r="F12" s="351"/>
      <c r="G12" s="351"/>
      <c r="H12" s="315"/>
    </row>
    <row r="13" spans="1:11">
      <c r="B13" s="11"/>
      <c r="C13" s="11"/>
      <c r="D13" s="11"/>
      <c r="E13" s="286"/>
      <c r="F13" s="287"/>
      <c r="G13" s="288"/>
      <c r="H13" s="8"/>
    </row>
    <row r="14" spans="1:11">
      <c r="A14" s="149"/>
      <c r="F14" s="8"/>
      <c r="G14" s="8"/>
      <c r="H14" s="12"/>
    </row>
    <row r="15" spans="1:11">
      <c r="A15" s="149"/>
      <c r="B15" s="149"/>
      <c r="C15" s="149"/>
      <c r="D15" s="149"/>
      <c r="E15" s="149"/>
      <c r="F15" s="149"/>
      <c r="G15" s="149"/>
      <c r="H15" s="8"/>
    </row>
    <row r="16" spans="1:11">
      <c r="B16" s="12"/>
      <c r="C16" s="12"/>
      <c r="D16" s="12"/>
      <c r="E16" s="8"/>
      <c r="F16" s="287"/>
      <c r="G16" s="288"/>
      <c r="H16" s="8"/>
    </row>
    <row r="17" spans="1:8">
      <c r="F17" s="8"/>
      <c r="G17" s="8"/>
      <c r="H17" s="12"/>
    </row>
    <row r="18" spans="1:8">
      <c r="F18" s="177"/>
    </row>
    <row r="20" spans="1:8">
      <c r="F20" s="289"/>
      <c r="G20" s="289"/>
    </row>
    <row r="21" spans="1:8">
      <c r="E21" s="289"/>
      <c r="G21" s="289"/>
    </row>
    <row r="22" spans="1:8">
      <c r="E22" s="289"/>
      <c r="F22" s="289"/>
      <c r="G22" s="289"/>
    </row>
    <row r="23" spans="1:8">
      <c r="E23" s="289"/>
      <c r="F23" s="289"/>
      <c r="G23" s="289"/>
    </row>
    <row r="24" spans="1:8">
      <c r="E24" s="289"/>
      <c r="F24" s="289"/>
      <c r="G24" s="289"/>
    </row>
    <row r="25" spans="1:8">
      <c r="E25" s="289"/>
      <c r="F25" s="289"/>
      <c r="G25" s="289"/>
    </row>
    <row r="26" spans="1:8">
      <c r="E26" s="289"/>
      <c r="F26" s="289"/>
    </row>
    <row r="28" spans="1:8">
      <c r="A28" s="32"/>
      <c r="F28" s="289"/>
    </row>
    <row r="29" spans="1:8">
      <c r="E29" s="290"/>
      <c r="F29" s="290"/>
    </row>
    <row r="30" spans="1:8">
      <c r="E30" s="290"/>
      <c r="F30" s="290"/>
    </row>
    <row r="31" spans="1:8">
      <c r="E31" s="290"/>
      <c r="F31" s="290"/>
    </row>
    <row r="32" spans="1:8">
      <c r="E32" s="290"/>
      <c r="F32" s="290"/>
    </row>
    <row r="33" spans="2:7">
      <c r="E33" s="290"/>
      <c r="F33" s="290"/>
    </row>
    <row r="34" spans="2:7">
      <c r="E34" s="290"/>
      <c r="F34" s="290"/>
      <c r="G34" s="290"/>
    </row>
    <row r="36" spans="2:7">
      <c r="B36" s="11"/>
      <c r="C36" s="11"/>
      <c r="D36" s="1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B6C6-A523-4E35-8D77-94DE15CE59A2}">
  <sheetPr codeName="Sheet16"/>
  <dimension ref="A1:R58"/>
  <sheetViews>
    <sheetView showGridLines="0" topLeftCell="A32" zoomScaleNormal="100" workbookViewId="0">
      <selection activeCell="L63" sqref="L63"/>
    </sheetView>
  </sheetViews>
  <sheetFormatPr defaultColWidth="9.140625" defaultRowHeight="15"/>
  <cols>
    <col min="1" max="1" width="3.42578125" style="4" customWidth="1"/>
    <col min="2" max="2" width="9.140625" style="4"/>
    <col min="3" max="3" width="12.140625" style="4" customWidth="1"/>
    <col min="4" max="4" width="12.28515625" style="4" bestFit="1" customWidth="1"/>
    <col min="5" max="5" width="9.140625" style="4"/>
    <col min="6" max="10" width="12.42578125" style="4" customWidth="1"/>
    <col min="11" max="11" width="22.42578125" style="4" customWidth="1"/>
    <col min="12" max="12" width="13.28515625" style="4" customWidth="1"/>
    <col min="13" max="13" width="12.42578125" style="4" customWidth="1"/>
    <col min="14" max="14" width="12.28515625" style="4" bestFit="1" customWidth="1"/>
    <col min="15" max="15" width="11" style="4" bestFit="1" customWidth="1"/>
    <col min="16" max="18" width="12.42578125" style="4" customWidth="1"/>
    <col min="19" max="16384" width="9.140625" style="4"/>
  </cols>
  <sheetData>
    <row r="1" spans="1:18" ht="19.5">
      <c r="A1" s="293" t="str">
        <f>CoName</f>
        <v>Fast Retailing</v>
      </c>
    </row>
    <row r="2" spans="1:18">
      <c r="A2" s="11" t="s">
        <v>185</v>
      </c>
    </row>
    <row r="3" spans="1:18">
      <c r="A3" s="108" t="s">
        <v>186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8">
      <c r="A4" s="166"/>
      <c r="F4" s="244"/>
    </row>
    <row r="5" spans="1:18">
      <c r="F5" s="247"/>
    </row>
    <row r="6" spans="1:18" ht="11.85" customHeight="1">
      <c r="A6" s="166"/>
    </row>
    <row r="7" spans="1:18">
      <c r="K7" s="252"/>
      <c r="L7" s="253"/>
      <c r="M7" s="253"/>
      <c r="N7" s="253"/>
    </row>
    <row r="8" spans="1:18">
      <c r="B8" s="180"/>
      <c r="C8" s="180"/>
      <c r="D8" s="180"/>
      <c r="E8" s="180"/>
      <c r="F8" s="180"/>
      <c r="G8" s="180"/>
      <c r="H8" s="180"/>
      <c r="I8" s="180"/>
      <c r="J8" s="180"/>
      <c r="L8" s="254"/>
      <c r="M8" s="251"/>
      <c r="P8" s="166"/>
      <c r="Q8" s="166"/>
      <c r="R8" s="166"/>
    </row>
    <row r="9" spans="1:18">
      <c r="B9" s="87"/>
      <c r="C9" s="87"/>
      <c r="D9" s="87"/>
      <c r="E9" s="87"/>
      <c r="F9" s="87"/>
      <c r="G9" s="87"/>
      <c r="H9" s="87"/>
      <c r="I9" s="87"/>
      <c r="J9" s="87"/>
      <c r="L9" s="254"/>
      <c r="M9" s="251"/>
      <c r="R9" s="8"/>
    </row>
    <row r="10" spans="1:18">
      <c r="B10" s="161"/>
      <c r="C10" s="161"/>
      <c r="D10" s="161"/>
      <c r="E10" s="161"/>
      <c r="F10" s="161"/>
      <c r="G10" s="161"/>
      <c r="H10" s="161"/>
      <c r="I10" s="161"/>
      <c r="J10" s="161"/>
      <c r="L10" s="254"/>
      <c r="M10" s="251"/>
      <c r="R10" s="8"/>
    </row>
    <row r="11" spans="1:18">
      <c r="L11" s="254"/>
      <c r="M11" s="251"/>
    </row>
    <row r="12" spans="1:18">
      <c r="L12" s="254"/>
      <c r="M12" s="251"/>
      <c r="R12" s="8"/>
    </row>
    <row r="13" spans="1:18">
      <c r="L13" s="254"/>
      <c r="M13" s="251"/>
      <c r="R13" s="8"/>
    </row>
    <row r="14" spans="1:18">
      <c r="L14" s="11"/>
      <c r="N14" s="11"/>
      <c r="R14" s="8"/>
    </row>
    <row r="15" spans="1:18">
      <c r="N15" s="11"/>
      <c r="R15" s="8"/>
    </row>
    <row r="16" spans="1:18">
      <c r="N16" s="255"/>
      <c r="P16" s="166"/>
      <c r="Q16" s="166"/>
      <c r="R16" s="161"/>
    </row>
    <row r="17" spans="1:18">
      <c r="P17" s="166"/>
      <c r="Q17" s="166"/>
      <c r="R17" s="173"/>
    </row>
    <row r="20" spans="1:18">
      <c r="A20" s="166"/>
    </row>
    <row r="21" spans="1:18">
      <c r="A21" s="108" t="s">
        <v>188</v>
      </c>
      <c r="B21" s="248"/>
      <c r="C21" s="248"/>
      <c r="D21" s="248"/>
      <c r="E21" s="248"/>
      <c r="F21" s="248"/>
      <c r="G21" s="248"/>
      <c r="H21" s="248"/>
      <c r="I21" s="248"/>
      <c r="J21" s="248"/>
      <c r="K21" s="248"/>
      <c r="L21" s="248"/>
      <c r="M21" s="248"/>
      <c r="N21" s="248"/>
      <c r="O21" s="248"/>
      <c r="P21" s="248"/>
    </row>
    <row r="22" spans="1:18">
      <c r="B22" s="177"/>
      <c r="C22" s="177"/>
      <c r="D22" s="177"/>
      <c r="E22" s="177"/>
      <c r="F22" s="177"/>
      <c r="G22" s="177"/>
      <c r="H22" s="177"/>
      <c r="I22" s="177"/>
      <c r="J22" s="177"/>
      <c r="K22" s="177"/>
      <c r="L22" s="177"/>
      <c r="M22" s="177"/>
      <c r="N22" s="177"/>
      <c r="O22" s="177"/>
      <c r="P22" s="177"/>
      <c r="R22" s="181"/>
    </row>
    <row r="23" spans="1:18">
      <c r="B23" s="177"/>
      <c r="C23" s="256"/>
      <c r="D23" s="256"/>
      <c r="E23" s="177"/>
      <c r="F23" s="256"/>
      <c r="G23" s="177"/>
      <c r="H23" s="177"/>
      <c r="I23" s="177"/>
      <c r="J23" s="177"/>
      <c r="K23" s="177"/>
      <c r="L23" s="177"/>
      <c r="M23" s="177"/>
      <c r="N23" s="177"/>
      <c r="O23" s="177"/>
      <c r="P23" s="177"/>
    </row>
    <row r="24" spans="1:18">
      <c r="B24" s="177"/>
      <c r="C24" s="256"/>
      <c r="D24" s="256"/>
      <c r="E24" s="256"/>
      <c r="F24" s="177"/>
      <c r="G24" s="256"/>
      <c r="H24" s="256"/>
      <c r="I24" s="177"/>
      <c r="J24" s="177"/>
      <c r="K24" s="177"/>
      <c r="L24" s="177"/>
      <c r="M24" s="177"/>
      <c r="N24" s="177"/>
      <c r="O24" s="177"/>
      <c r="P24" s="177"/>
      <c r="R24" s="86"/>
    </row>
    <row r="25" spans="1:18">
      <c r="B25" s="177"/>
      <c r="C25" s="256"/>
      <c r="D25" s="257"/>
      <c r="E25" s="257"/>
      <c r="F25" s="257"/>
      <c r="G25" s="177"/>
      <c r="H25" s="177"/>
      <c r="I25" s="177"/>
      <c r="J25" s="177"/>
      <c r="K25" s="177"/>
      <c r="L25" s="149"/>
      <c r="M25" s="177"/>
      <c r="N25" s="177"/>
      <c r="O25" s="177"/>
      <c r="P25" s="177"/>
      <c r="R25" s="86"/>
    </row>
    <row r="26" spans="1:18">
      <c r="B26" s="177"/>
      <c r="C26" s="258"/>
      <c r="D26" s="177"/>
      <c r="E26" s="177"/>
      <c r="F26" s="257"/>
      <c r="G26" s="257"/>
      <c r="H26" s="257"/>
      <c r="I26" s="177"/>
      <c r="J26" s="177"/>
      <c r="K26" s="177"/>
      <c r="L26" s="149"/>
      <c r="M26" s="251"/>
      <c r="N26" s="251"/>
      <c r="O26" s="251"/>
      <c r="P26" s="177"/>
      <c r="R26" s="86"/>
    </row>
    <row r="27" spans="1:18">
      <c r="B27" s="177"/>
      <c r="C27" s="177"/>
      <c r="D27" s="177"/>
      <c r="E27" s="259"/>
      <c r="F27" s="260"/>
      <c r="G27" s="260"/>
      <c r="H27" s="260"/>
      <c r="I27" s="257"/>
      <c r="J27" s="177"/>
      <c r="K27" s="177"/>
      <c r="L27" s="259"/>
      <c r="M27" s="260"/>
      <c r="N27" s="260"/>
      <c r="O27" s="260"/>
      <c r="P27" s="177"/>
    </row>
    <row r="28" spans="1:18">
      <c r="B28" s="177"/>
      <c r="C28" s="177"/>
      <c r="D28" s="177"/>
      <c r="E28" s="259"/>
      <c r="F28" s="260"/>
      <c r="G28" s="260"/>
      <c r="H28" s="260"/>
      <c r="I28" s="257"/>
      <c r="J28" s="177"/>
      <c r="K28" s="177"/>
      <c r="L28" s="259"/>
      <c r="M28" s="260"/>
      <c r="N28" s="260"/>
      <c r="O28" s="260"/>
      <c r="P28" s="177"/>
      <c r="R28" s="181"/>
    </row>
    <row r="29" spans="1:18">
      <c r="B29" s="177"/>
      <c r="C29" s="177"/>
      <c r="D29" s="177"/>
      <c r="E29" s="259"/>
      <c r="F29" s="260"/>
      <c r="G29" s="260"/>
      <c r="H29" s="260"/>
      <c r="I29" s="257"/>
      <c r="J29" s="177"/>
      <c r="K29" s="177"/>
      <c r="L29" s="259"/>
      <c r="M29" s="260"/>
      <c r="N29" s="260"/>
      <c r="O29" s="260"/>
      <c r="P29" s="177"/>
    </row>
    <row r="30" spans="1:18">
      <c r="B30" s="177"/>
      <c r="C30" s="257"/>
      <c r="D30" s="177"/>
      <c r="E30" s="259"/>
      <c r="F30" s="260"/>
      <c r="G30" s="260"/>
      <c r="H30" s="260"/>
      <c r="I30" s="257"/>
      <c r="J30" s="177"/>
      <c r="K30" s="177"/>
      <c r="L30" s="259"/>
      <c r="M30" s="260"/>
      <c r="N30" s="260"/>
      <c r="O30" s="260"/>
      <c r="P30" s="177"/>
      <c r="R30" s="86"/>
    </row>
    <row r="31" spans="1:18">
      <c r="B31" s="177"/>
      <c r="C31" s="257"/>
      <c r="D31" s="177"/>
      <c r="E31" s="259"/>
      <c r="F31" s="260"/>
      <c r="G31" s="260"/>
      <c r="H31" s="260"/>
      <c r="I31" s="257"/>
      <c r="J31" s="177"/>
      <c r="K31" s="177"/>
      <c r="L31" s="259"/>
      <c r="M31" s="260"/>
      <c r="N31" s="260"/>
      <c r="O31" s="260"/>
      <c r="P31" s="177"/>
      <c r="R31" s="86"/>
    </row>
    <row r="32" spans="1:18">
      <c r="B32" s="177"/>
      <c r="C32" s="261"/>
      <c r="D32" s="177"/>
      <c r="E32" s="262"/>
      <c r="F32" s="177"/>
      <c r="G32" s="177"/>
      <c r="H32" s="177"/>
      <c r="I32" s="177"/>
      <c r="J32" s="177"/>
      <c r="K32" s="177"/>
      <c r="P32" s="177"/>
      <c r="R32" s="86"/>
    </row>
    <row r="33" spans="1:18">
      <c r="B33" s="177"/>
      <c r="C33" s="256"/>
      <c r="D33" s="177"/>
      <c r="E33" s="263"/>
      <c r="F33" s="256"/>
      <c r="G33" s="177"/>
      <c r="H33" s="177"/>
      <c r="I33" s="177"/>
      <c r="J33" s="177"/>
      <c r="K33" s="177"/>
      <c r="L33" s="257"/>
      <c r="M33" s="177"/>
      <c r="N33" s="177"/>
      <c r="O33" s="177"/>
      <c r="P33" s="177"/>
      <c r="R33" s="86"/>
    </row>
    <row r="34" spans="1:18">
      <c r="B34" s="177"/>
      <c r="C34" s="177"/>
      <c r="D34" s="177"/>
      <c r="E34" s="179"/>
      <c r="F34" s="257"/>
      <c r="G34" s="257"/>
      <c r="H34" s="257"/>
      <c r="I34" s="177"/>
      <c r="J34" s="177"/>
      <c r="K34" s="177"/>
      <c r="L34" s="177"/>
      <c r="M34" s="257"/>
      <c r="N34" s="257"/>
      <c r="O34" s="257"/>
      <c r="P34" s="177"/>
    </row>
    <row r="35" spans="1:18">
      <c r="B35" s="177"/>
      <c r="C35" s="257"/>
      <c r="D35" s="177"/>
      <c r="E35" s="259"/>
      <c r="F35" s="251"/>
      <c r="G35" s="251"/>
      <c r="H35" s="251"/>
      <c r="I35" s="257"/>
      <c r="J35" s="177"/>
      <c r="K35" s="177"/>
      <c r="L35" s="259"/>
      <c r="M35" s="251"/>
      <c r="N35" s="251"/>
      <c r="O35" s="251"/>
      <c r="P35" s="177"/>
    </row>
    <row r="36" spans="1:18">
      <c r="A36" s="166"/>
      <c r="B36" s="177"/>
      <c r="C36" s="257"/>
      <c r="D36" s="177"/>
      <c r="E36" s="259"/>
      <c r="F36" s="251"/>
      <c r="G36" s="251"/>
      <c r="H36" s="251"/>
      <c r="I36" s="264"/>
      <c r="J36" s="257"/>
      <c r="K36" s="177"/>
      <c r="L36" s="259"/>
      <c r="M36" s="251"/>
      <c r="N36" s="251"/>
      <c r="O36" s="251"/>
      <c r="P36" s="177"/>
    </row>
    <row r="37" spans="1:18">
      <c r="B37" s="177"/>
      <c r="C37" s="177"/>
      <c r="D37" s="177"/>
      <c r="E37" s="259"/>
      <c r="F37" s="251"/>
      <c r="G37" s="251"/>
      <c r="H37" s="251"/>
      <c r="I37" s="264"/>
      <c r="J37" s="177"/>
      <c r="K37" s="177"/>
      <c r="L37" s="259"/>
      <c r="M37" s="251"/>
      <c r="N37" s="251"/>
      <c r="O37" s="251"/>
      <c r="P37" s="177"/>
    </row>
    <row r="38" spans="1:18">
      <c r="A38" s="178"/>
      <c r="B38" s="177"/>
      <c r="C38" s="257"/>
      <c r="D38" s="177"/>
      <c r="E38" s="259"/>
      <c r="F38" s="251"/>
      <c r="G38" s="251"/>
      <c r="H38" s="251"/>
      <c r="I38" s="264"/>
      <c r="J38" s="257"/>
      <c r="K38" s="177"/>
      <c r="L38" s="259"/>
      <c r="M38" s="251"/>
      <c r="N38" s="251"/>
      <c r="O38" s="251"/>
      <c r="P38" s="177"/>
    </row>
    <row r="39" spans="1:18">
      <c r="B39" s="265"/>
      <c r="C39" s="264"/>
      <c r="D39" s="177"/>
      <c r="E39" s="259"/>
      <c r="F39" s="251"/>
      <c r="G39" s="251"/>
      <c r="H39" s="251"/>
      <c r="I39" s="264"/>
      <c r="J39" s="257"/>
      <c r="K39" s="177"/>
      <c r="L39" s="259"/>
      <c r="M39" s="251"/>
      <c r="N39" s="251"/>
      <c r="O39" s="251"/>
      <c r="P39" s="177"/>
    </row>
    <row r="41" spans="1:18">
      <c r="A41" s="108" t="s">
        <v>189</v>
      </c>
      <c r="B41" s="248"/>
      <c r="C41" s="248"/>
      <c r="D41" s="248"/>
      <c r="E41" s="248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48"/>
      <c r="Q41" s="49"/>
      <c r="R41" s="49"/>
    </row>
    <row r="42" spans="1:18">
      <c r="E42" s="8"/>
      <c r="F42" s="246"/>
      <c r="G42" s="246"/>
      <c r="H42" s="246"/>
      <c r="I42" s="182"/>
      <c r="J42" s="182"/>
      <c r="K42" s="182"/>
      <c r="P42" s="86"/>
      <c r="Q42" s="183"/>
      <c r="R42" s="86"/>
    </row>
    <row r="43" spans="1:18">
      <c r="E43" s="8"/>
      <c r="F43" s="246"/>
      <c r="G43" s="246"/>
      <c r="H43" s="246"/>
      <c r="I43" s="182"/>
      <c r="J43" s="182"/>
      <c r="K43" s="182"/>
      <c r="P43" s="86"/>
      <c r="Q43" s="183"/>
      <c r="R43" s="86"/>
    </row>
    <row r="44" spans="1:18">
      <c r="D44" s="177"/>
      <c r="E44" s="8"/>
      <c r="F44" s="182"/>
      <c r="G44" s="182"/>
      <c r="H44" s="182"/>
      <c r="I44" s="182"/>
      <c r="J44" s="182"/>
      <c r="K44" s="182"/>
      <c r="P44" s="183"/>
      <c r="Q44" s="183"/>
      <c r="R44" s="183"/>
    </row>
    <row r="45" spans="1:18">
      <c r="E45" s="8"/>
      <c r="F45" s="246"/>
      <c r="G45" s="246"/>
      <c r="H45" s="246"/>
      <c r="I45" s="182"/>
      <c r="J45" s="182"/>
      <c r="K45" s="182"/>
      <c r="P45" s="86"/>
      <c r="Q45" s="183"/>
      <c r="R45" s="86"/>
    </row>
    <row r="46" spans="1:18">
      <c r="E46" s="8"/>
      <c r="F46" s="246"/>
      <c r="G46" s="246"/>
      <c r="H46" s="246"/>
      <c r="I46" s="182"/>
      <c r="J46" s="182"/>
      <c r="K46" s="182"/>
      <c r="P46" s="86"/>
      <c r="Q46" s="183"/>
      <c r="R46" s="86"/>
    </row>
    <row r="48" spans="1:18">
      <c r="A48" s="178"/>
    </row>
    <row r="49" spans="2:18">
      <c r="B49" s="184"/>
    </row>
    <row r="51" spans="2:18">
      <c r="I51" s="177"/>
      <c r="J51" s="177"/>
      <c r="K51" s="177"/>
      <c r="Q51" s="177"/>
    </row>
    <row r="52" spans="2:18">
      <c r="F52" s="86"/>
      <c r="G52" s="86"/>
      <c r="H52" s="86"/>
      <c r="I52" s="86"/>
      <c r="J52" s="86"/>
      <c r="K52" s="86"/>
      <c r="L52" s="86"/>
      <c r="P52" s="86"/>
      <c r="Q52" s="86"/>
      <c r="R52" s="86"/>
    </row>
    <row r="53" spans="2:18">
      <c r="E53" s="8"/>
      <c r="F53" s="145"/>
      <c r="G53" s="145"/>
      <c r="H53" s="145"/>
      <c r="I53" s="185"/>
      <c r="J53" s="185"/>
      <c r="K53" s="185"/>
      <c r="L53" s="145"/>
      <c r="O53" s="49"/>
      <c r="P53" s="49"/>
      <c r="Q53" s="186"/>
      <c r="R53" s="49"/>
    </row>
    <row r="54" spans="2:18">
      <c r="E54" s="8"/>
      <c r="F54" s="145"/>
      <c r="G54" s="145"/>
      <c r="H54" s="145"/>
      <c r="I54" s="185"/>
      <c r="J54" s="185"/>
      <c r="K54" s="185"/>
      <c r="L54" s="145"/>
      <c r="O54" s="49"/>
      <c r="P54" s="49"/>
      <c r="Q54" s="186"/>
      <c r="R54" s="49"/>
    </row>
    <row r="55" spans="2:18">
      <c r="E55" s="8"/>
      <c r="F55" s="185"/>
      <c r="G55" s="185"/>
      <c r="H55" s="185"/>
      <c r="I55" s="185"/>
      <c r="J55" s="185"/>
      <c r="K55" s="185"/>
      <c r="L55" s="185"/>
      <c r="O55" s="49"/>
      <c r="P55" s="186"/>
      <c r="Q55" s="186"/>
      <c r="R55" s="186"/>
    </row>
    <row r="56" spans="2:18">
      <c r="E56" s="8"/>
      <c r="F56" s="145"/>
      <c r="G56" s="145"/>
      <c r="H56" s="145"/>
      <c r="I56" s="185"/>
      <c r="J56" s="185"/>
      <c r="K56" s="185"/>
      <c r="L56" s="145"/>
      <c r="O56" s="49"/>
      <c r="P56" s="49"/>
      <c r="Q56" s="186"/>
      <c r="R56" s="49"/>
    </row>
    <row r="57" spans="2:18">
      <c r="E57" s="8"/>
      <c r="F57" s="145"/>
      <c r="G57" s="145"/>
      <c r="H57" s="145"/>
      <c r="I57" s="185"/>
      <c r="J57" s="185"/>
      <c r="K57" s="185"/>
      <c r="L57" s="145"/>
      <c r="O57" s="49"/>
      <c r="P57" s="49"/>
      <c r="Q57" s="186"/>
      <c r="R57" s="49"/>
    </row>
    <row r="58" spans="2:18">
      <c r="O58" s="4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8a26cf8-717e-46a4-ac0d-03f11284dc6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D67CCE9C46594A83EA9A0A36DAF059" ma:contentTypeVersion="5" ma:contentTypeDescription="Create a new document." ma:contentTypeScope="" ma:versionID="5fd8b8fd27f650b6dd5d0d1126d790d5">
  <xsd:schema xmlns:xsd="http://www.w3.org/2001/XMLSchema" xmlns:xs="http://www.w3.org/2001/XMLSchema" xmlns:p="http://schemas.microsoft.com/office/2006/metadata/properties" xmlns:ns3="88a26cf8-717e-46a4-ac0d-03f11284dc6b" targetNamespace="http://schemas.microsoft.com/office/2006/metadata/properties" ma:root="true" ma:fieldsID="dfdbcf1abf95335456703ce8a00489ec" ns3:_="">
    <xsd:import namespace="88a26cf8-717e-46a4-ac0d-03f11284dc6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26cf8-717e-46a4-ac0d-03f11284dc6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9B163E-8FD9-4F0C-B1E1-F38F6A6548CE}">
  <ds:schemaRefs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88a26cf8-717e-46a4-ac0d-03f11284dc6b"/>
    <ds:schemaRef ds:uri="http://www.w3.org/XML/1998/namespace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E2CEB71-5BFB-4E6E-B188-5D9054FB6C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E718D7-04AA-4DF9-97B6-37DAC0AD128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88a26cf8-717e-46a4-ac0d-03f11284dc6b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MAIN</vt:lpstr>
      <vt:lpstr>Revenue</vt:lpstr>
      <vt:lpstr>Assumptions</vt:lpstr>
      <vt:lpstr>Calcs</vt:lpstr>
      <vt:lpstr>Debt</vt:lpstr>
      <vt:lpstr>IncState</vt:lpstr>
      <vt:lpstr>BalSheet</vt:lpstr>
      <vt:lpstr>CashFlow</vt:lpstr>
      <vt:lpstr>Free Cash Flow</vt:lpstr>
      <vt:lpstr>WACC</vt:lpstr>
      <vt:lpstr>DCF Model</vt:lpstr>
      <vt:lpstr>SOTP</vt:lpstr>
      <vt:lpstr>Presentation</vt:lpstr>
      <vt:lpstr>Ccy</vt:lpstr>
      <vt:lpstr>circ</vt:lpstr>
      <vt:lpstr>CoName</vt:lpstr>
      <vt:lpstr>ScenarioREV</vt:lpstr>
      <vt:lpstr>Units</vt:lpstr>
      <vt:lpstr>wacc</vt:lpstr>
    </vt:vector>
  </TitlesOfParts>
  <Company>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Chen</dc:creator>
  <dc:description>AMTX-V1/2765</dc:description>
  <cp:lastModifiedBy>Alan Chen</cp:lastModifiedBy>
  <cp:lastPrinted>2017-12-06T12:46:42Z</cp:lastPrinted>
  <dcterms:created xsi:type="dcterms:W3CDTF">2008-02-13T09:24:48Z</dcterms:created>
  <dcterms:modified xsi:type="dcterms:W3CDTF">2025-10-27T01:54:06Z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0x01010001D67CCE9C46594A83EA9A0A36DAF059</vt:lpwstr>
  </property>
  <property fmtid="{D5CDD505-2E9C-101B-9397-08002B2CF9AE}" pid="3" name="MSIP_Label_a73fd474-4f3c-44ed-88fb-5cc4bd2471bf_Enabled">
    <vt:lpwstr>true</vt:lpwstr>
  </property>
  <property fmtid="{D5CDD505-2E9C-101B-9397-08002B2CF9AE}" pid="4" name="MSIP_Label_a73fd474-4f3c-44ed-88fb-5cc4bd2471bf_SetDate">
    <vt:lpwstr>2025-09-20T21:06:41Z</vt:lpwstr>
  </property>
  <property fmtid="{D5CDD505-2E9C-101B-9397-08002B2CF9AE}" pid="5" name="MSIP_Label_a73fd474-4f3c-44ed-88fb-5cc4bd2471bf_Method">
    <vt:lpwstr>Standard</vt:lpwstr>
  </property>
  <property fmtid="{D5CDD505-2E9C-101B-9397-08002B2CF9AE}" pid="6" name="MSIP_Label_a73fd474-4f3c-44ed-88fb-5cc4bd2471bf_Name">
    <vt:lpwstr>defa4170-0d19-0005-0004-bc88714345d2</vt:lpwstr>
  </property>
  <property fmtid="{D5CDD505-2E9C-101B-9397-08002B2CF9AE}" pid="7" name="MSIP_Label_a73fd474-4f3c-44ed-88fb-5cc4bd2471bf_SiteId">
    <vt:lpwstr>8d1a69ec-03b5-4345-ae21-dad112f5fb4f</vt:lpwstr>
  </property>
  <property fmtid="{D5CDD505-2E9C-101B-9397-08002B2CF9AE}" pid="8" name="MSIP_Label_a73fd474-4f3c-44ed-88fb-5cc4bd2471bf_ActionId">
    <vt:lpwstr>ea478097-4d4f-4597-be52-84b7b54bb9e8</vt:lpwstr>
  </property>
  <property fmtid="{D5CDD505-2E9C-101B-9397-08002B2CF9AE}" pid="9" name="MSIP_Label_a73fd474-4f3c-44ed-88fb-5cc4bd2471bf_ContentBits">
    <vt:lpwstr>0</vt:lpwstr>
  </property>
  <property fmtid="{D5CDD505-2E9C-101B-9397-08002B2CF9AE}" pid="10" name="MSIP_Label_a73fd474-4f3c-44ed-88fb-5cc4bd2471bf_Tag">
    <vt:lpwstr>10, 3, 0, 1</vt:lpwstr>
  </property>
</Properties>
</file>