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e034dd60452fc8/"/>
    </mc:Choice>
  </mc:AlternateContent>
  <xr:revisionPtr revIDLastSave="1354" documentId="8_{0E8719CB-E864-4551-9EF6-5ACCB21B3DA3}" xr6:coauthVersionLast="47" xr6:coauthVersionMax="47" xr10:uidLastSave="{F1F065FC-51E1-4E9E-A4CE-08308F176947}"/>
  <bookViews>
    <workbookView xWindow="-105" yWindow="0" windowWidth="19410" windowHeight="21705" tabRatio="808" xr2:uid="{00000000-000D-0000-FFFF-FFFF00000000}"/>
  </bookViews>
  <sheets>
    <sheet name="MAIN" sheetId="3" r:id="rId1"/>
    <sheet name="Revenue" sheetId="32" r:id="rId2"/>
    <sheet name="Assumptions" sheetId="13" r:id="rId3"/>
    <sheet name="Calcs" sheetId="5" r:id="rId4"/>
    <sheet name="Debt" sheetId="6" r:id="rId5"/>
    <sheet name="IncState" sheetId="7" r:id="rId6"/>
    <sheet name="BalSheet" sheetId="8" r:id="rId7"/>
    <sheet name="CashFlow" sheetId="9" r:id="rId8"/>
    <sheet name="Free Cash Flow" sheetId="10" r:id="rId9"/>
    <sheet name="WACC" sheetId="11" r:id="rId10"/>
    <sheet name="DCF Model" sheetId="12" r:id="rId11"/>
    <sheet name="COMPS" sheetId="23" r:id="rId12"/>
  </sheets>
  <externalReferences>
    <externalReference r:id="rId13"/>
  </externalReferences>
  <definedNames>
    <definedName name="Ccy">MAIN!$C$6</definedName>
    <definedName name="CIQWBGuid" hidden="1">"3fed39ac-8be9-4d46-8f70-028dfd35ab66"</definedName>
    <definedName name="CIQWBInfo" hidden="1">"{ ""CIQVersion"":""9.48.1616.5174"" }"</definedName>
    <definedName name="circ">MAIN!$C$9</definedName>
    <definedName name="CoName">MAIN!$C$4</definedName>
    <definedName name="g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pCase">[1]DCF!$E$98</definedName>
    <definedName name="ScenarioREV">Assumptions!$D$4</definedName>
    <definedName name="TTS" comment="Updated: April 2023">#REF!</definedName>
    <definedName name="Units">MAIN!$C$7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17" i="3"/>
  <c r="E13" i="3"/>
  <c r="J14" i="23"/>
  <c r="J13" i="23"/>
  <c r="G14" i="23"/>
  <c r="H14" i="23"/>
  <c r="I14" i="23"/>
  <c r="F14" i="23"/>
  <c r="I13" i="23"/>
  <c r="H13" i="23"/>
  <c r="G13" i="23"/>
  <c r="F13" i="23"/>
  <c r="J11" i="23"/>
  <c r="G11" i="23"/>
  <c r="H11" i="23"/>
  <c r="I11" i="23"/>
  <c r="F11" i="23"/>
  <c r="I10" i="23"/>
  <c r="H10" i="23"/>
  <c r="G10" i="23"/>
  <c r="E10" i="23"/>
  <c r="F10" i="23"/>
  <c r="D10" i="23"/>
  <c r="G8" i="23"/>
  <c r="H8" i="23"/>
  <c r="I8" i="23"/>
  <c r="F8" i="23"/>
  <c r="G7" i="23"/>
  <c r="G6" i="23"/>
  <c r="G5" i="23"/>
  <c r="G4" i="23"/>
  <c r="G3" i="23"/>
  <c r="F20" i="3"/>
  <c r="F16" i="3"/>
  <c r="F12" i="3"/>
  <c r="F21" i="3"/>
  <c r="F17" i="3"/>
  <c r="F13" i="3"/>
  <c r="C21" i="3"/>
  <c r="C17" i="3"/>
  <c r="C13" i="3"/>
  <c r="G17" i="12"/>
  <c r="G13" i="12"/>
  <c r="G14" i="12"/>
  <c r="G12" i="12"/>
  <c r="E10" i="11"/>
  <c r="C35" i="8"/>
  <c r="C12" i="8" s="1"/>
  <c r="C54" i="13" s="1"/>
  <c r="D35" i="8"/>
  <c r="D36" i="8" s="1"/>
  <c r="E35" i="8"/>
  <c r="F11" i="13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10" i="8"/>
  <c r="H10" i="8"/>
  <c r="I10" i="8"/>
  <c r="J10" i="8"/>
  <c r="G11" i="8"/>
  <c r="H11" i="8"/>
  <c r="I11" i="8"/>
  <c r="J11" i="8"/>
  <c r="G5" i="9"/>
  <c r="H5" i="9"/>
  <c r="I5" i="9"/>
  <c r="J5" i="9"/>
  <c r="F8" i="8"/>
  <c r="G23" i="8"/>
  <c r="H23" i="8"/>
  <c r="I23" i="8"/>
  <c r="J23" i="8"/>
  <c r="F6" i="8"/>
  <c r="F5" i="8"/>
  <c r="F4" i="8"/>
  <c r="F7" i="8"/>
  <c r="F8" i="13"/>
  <c r="H2" i="12"/>
  <c r="G6" i="13"/>
  <c r="H6" i="13"/>
  <c r="I6" i="13"/>
  <c r="J6" i="13"/>
  <c r="F6" i="13"/>
  <c r="F33" i="13"/>
  <c r="D21" i="3"/>
  <c r="D17" i="3"/>
  <c r="D13" i="3"/>
  <c r="C17" i="12"/>
  <c r="C13" i="12"/>
  <c r="C12" i="12"/>
  <c r="E27" i="6"/>
  <c r="E9" i="11" s="1"/>
  <c r="K4" i="11"/>
  <c r="I4" i="11"/>
  <c r="K7" i="11"/>
  <c r="I7" i="11"/>
  <c r="F9" i="10"/>
  <c r="G9" i="10"/>
  <c r="H9" i="10"/>
  <c r="I9" i="10"/>
  <c r="J9" i="10"/>
  <c r="J5" i="10"/>
  <c r="I5" i="10"/>
  <c r="H5" i="10"/>
  <c r="G5" i="10"/>
  <c r="F5" i="10"/>
  <c r="G28" i="7"/>
  <c r="H28" i="7"/>
  <c r="I28" i="7"/>
  <c r="J28" i="7"/>
  <c r="F28" i="7"/>
  <c r="F32" i="6"/>
  <c r="F26" i="6"/>
  <c r="F25" i="6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22" i="7"/>
  <c r="H22" i="7"/>
  <c r="I22" i="7"/>
  <c r="J22" i="7"/>
  <c r="G25" i="7"/>
  <c r="H25" i="7"/>
  <c r="I25" i="7"/>
  <c r="J25" i="7"/>
  <c r="G26" i="7"/>
  <c r="H26" i="7"/>
  <c r="I26" i="7"/>
  <c r="J26" i="7"/>
  <c r="G35" i="7"/>
  <c r="H35" i="7"/>
  <c r="I35" i="7"/>
  <c r="J35" i="7"/>
  <c r="G38" i="7"/>
  <c r="G36" i="7" s="1"/>
  <c r="G15" i="5" s="1"/>
  <c r="H38" i="7"/>
  <c r="H36" i="7" s="1"/>
  <c r="H15" i="5" s="1"/>
  <c r="I38" i="7"/>
  <c r="I36" i="7" s="1"/>
  <c r="I15" i="5" s="1"/>
  <c r="J38" i="7"/>
  <c r="J36" i="7" s="1"/>
  <c r="J15" i="5" s="1"/>
  <c r="G39" i="7"/>
  <c r="H39" i="7"/>
  <c r="I39" i="7"/>
  <c r="J39" i="7"/>
  <c r="G18" i="6"/>
  <c r="H18" i="6"/>
  <c r="I18" i="6"/>
  <c r="J18" i="6"/>
  <c r="G16" i="5"/>
  <c r="H16" i="5"/>
  <c r="I16" i="5"/>
  <c r="J16" i="5"/>
  <c r="F10" i="8"/>
  <c r="F18" i="13"/>
  <c r="F19" i="13"/>
  <c r="G19" i="13"/>
  <c r="G18" i="13"/>
  <c r="F21" i="9"/>
  <c r="F16" i="9"/>
  <c r="F15" i="9"/>
  <c r="F5" i="9"/>
  <c r="E25" i="5"/>
  <c r="E24" i="5"/>
  <c r="E23" i="5"/>
  <c r="E22" i="5"/>
  <c r="E21" i="5"/>
  <c r="E20" i="5"/>
  <c r="E19" i="5"/>
  <c r="F16" i="5"/>
  <c r="F35" i="7"/>
  <c r="F13" i="5"/>
  <c r="E17" i="5"/>
  <c r="F18" i="6"/>
  <c r="E20" i="6"/>
  <c r="F17" i="6" s="1"/>
  <c r="F20" i="6" s="1"/>
  <c r="F23" i="8"/>
  <c r="F22" i="7"/>
  <c r="F6" i="5"/>
  <c r="E9" i="5"/>
  <c r="F26" i="7"/>
  <c r="F25" i="7"/>
  <c r="E4" i="7"/>
  <c r="D4" i="7"/>
  <c r="C4" i="7"/>
  <c r="H32" i="13"/>
  <c r="I32" i="13" s="1"/>
  <c r="J32" i="13" s="1"/>
  <c r="G32" i="13"/>
  <c r="F32" i="13"/>
  <c r="G34" i="13"/>
  <c r="F34" i="13"/>
  <c r="E6" i="7"/>
  <c r="D6" i="7"/>
  <c r="C6" i="7"/>
  <c r="C12" i="13"/>
  <c r="D10" i="13"/>
  <c r="E10" i="13"/>
  <c r="M38" i="32"/>
  <c r="M36" i="32" s="1"/>
  <c r="L38" i="32"/>
  <c r="M28" i="32"/>
  <c r="M26" i="32" s="1"/>
  <c r="L28" i="32"/>
  <c r="M18" i="32"/>
  <c r="L8" i="32"/>
  <c r="L6" i="32" s="1"/>
  <c r="M8" i="32"/>
  <c r="M6" i="32" s="1"/>
  <c r="L36" i="32"/>
  <c r="L26" i="32"/>
  <c r="L27" i="32" s="1"/>
  <c r="L23" i="32"/>
  <c r="L18" i="32"/>
  <c r="M33" i="32"/>
  <c r="L33" i="32"/>
  <c r="N33" i="32" s="1"/>
  <c r="N35" i="32" s="1"/>
  <c r="O35" i="32" s="1"/>
  <c r="P35" i="32" s="1"/>
  <c r="Q35" i="32" s="1"/>
  <c r="R35" i="32" s="1"/>
  <c r="M23" i="32"/>
  <c r="M16" i="32"/>
  <c r="L16" i="32"/>
  <c r="L17" i="32" s="1"/>
  <c r="M13" i="32"/>
  <c r="L13" i="32"/>
  <c r="M3" i="32"/>
  <c r="L3" i="32"/>
  <c r="L4" i="32" s="1"/>
  <c r="K5" i="32"/>
  <c r="J5" i="32"/>
  <c r="K8" i="32"/>
  <c r="J8" i="32"/>
  <c r="K11" i="32"/>
  <c r="J11" i="32"/>
  <c r="K15" i="32"/>
  <c r="J15" i="32"/>
  <c r="K18" i="32"/>
  <c r="J18" i="32"/>
  <c r="K21" i="32"/>
  <c r="J21" i="32"/>
  <c r="K25" i="32"/>
  <c r="J25" i="32"/>
  <c r="K28" i="32"/>
  <c r="J28" i="32"/>
  <c r="K31" i="32"/>
  <c r="J31" i="32"/>
  <c r="K35" i="32"/>
  <c r="J35" i="32"/>
  <c r="K38" i="32"/>
  <c r="J38" i="32"/>
  <c r="K41" i="32"/>
  <c r="J41" i="32"/>
  <c r="K45" i="32"/>
  <c r="J45" i="32"/>
  <c r="K48" i="32"/>
  <c r="J48" i="32"/>
  <c r="K51" i="32"/>
  <c r="J51" i="32"/>
  <c r="K50" i="32"/>
  <c r="K47" i="32"/>
  <c r="K44" i="32"/>
  <c r="K40" i="32"/>
  <c r="K37" i="32"/>
  <c r="K34" i="32"/>
  <c r="K30" i="32"/>
  <c r="K27" i="32"/>
  <c r="K24" i="32"/>
  <c r="K20" i="32"/>
  <c r="K17" i="32"/>
  <c r="K14" i="32"/>
  <c r="K10" i="32"/>
  <c r="K7" i="32"/>
  <c r="K4" i="32"/>
  <c r="I5" i="32"/>
  <c r="I8" i="32"/>
  <c r="I11" i="32"/>
  <c r="I15" i="32"/>
  <c r="I18" i="32"/>
  <c r="I21" i="32"/>
  <c r="I25" i="32"/>
  <c r="I28" i="32"/>
  <c r="I31" i="32"/>
  <c r="I35" i="32"/>
  <c r="I38" i="32"/>
  <c r="I41" i="32"/>
  <c r="I45" i="32"/>
  <c r="I48" i="32"/>
  <c r="I51" i="32"/>
  <c r="D51" i="32"/>
  <c r="D48" i="32"/>
  <c r="D45" i="32"/>
  <c r="D41" i="32"/>
  <c r="D38" i="32"/>
  <c r="D35" i="32"/>
  <c r="D31" i="32"/>
  <c r="D28" i="32"/>
  <c r="D25" i="32"/>
  <c r="D21" i="32"/>
  <c r="D18" i="32"/>
  <c r="D15" i="32"/>
  <c r="D11" i="32"/>
  <c r="D8" i="32"/>
  <c r="D5" i="32"/>
  <c r="H50" i="32"/>
  <c r="G50" i="32"/>
  <c r="F50" i="32"/>
  <c r="H47" i="32"/>
  <c r="G47" i="32"/>
  <c r="F47" i="32"/>
  <c r="H44" i="32"/>
  <c r="G44" i="32"/>
  <c r="F44" i="32"/>
  <c r="H40" i="32"/>
  <c r="G40" i="32"/>
  <c r="F40" i="32"/>
  <c r="H37" i="32"/>
  <c r="G37" i="32"/>
  <c r="F37" i="32"/>
  <c r="H34" i="32"/>
  <c r="G34" i="32"/>
  <c r="F34" i="32"/>
  <c r="H30" i="32"/>
  <c r="G30" i="32"/>
  <c r="F30" i="32"/>
  <c r="H27" i="32"/>
  <c r="G27" i="32"/>
  <c r="F27" i="32"/>
  <c r="H24" i="32"/>
  <c r="G24" i="32"/>
  <c r="F24" i="32"/>
  <c r="H20" i="32"/>
  <c r="G20" i="32"/>
  <c r="F20" i="32"/>
  <c r="H17" i="32"/>
  <c r="G17" i="32"/>
  <c r="F17" i="32"/>
  <c r="H14" i="32"/>
  <c r="G14" i="32"/>
  <c r="F14" i="32"/>
  <c r="H10" i="32"/>
  <c r="G10" i="32"/>
  <c r="F10" i="32"/>
  <c r="H7" i="32"/>
  <c r="G7" i="32"/>
  <c r="F7" i="32"/>
  <c r="H4" i="32"/>
  <c r="G4" i="32"/>
  <c r="F4" i="32"/>
  <c r="I36" i="32"/>
  <c r="I39" i="32" s="1"/>
  <c r="I33" i="32"/>
  <c r="I26" i="32"/>
  <c r="I46" i="32" s="1"/>
  <c r="I23" i="32"/>
  <c r="I16" i="32"/>
  <c r="I13" i="32"/>
  <c r="I6" i="32"/>
  <c r="I3" i="32"/>
  <c r="D43" i="32"/>
  <c r="E43" i="32"/>
  <c r="F43" i="32"/>
  <c r="G43" i="32"/>
  <c r="H43" i="32"/>
  <c r="J43" i="32"/>
  <c r="K43" i="32"/>
  <c r="D46" i="32"/>
  <c r="D49" i="32" s="1"/>
  <c r="E46" i="32"/>
  <c r="F46" i="32"/>
  <c r="G46" i="32"/>
  <c r="G49" i="32" s="1"/>
  <c r="H46" i="32"/>
  <c r="J46" i="32"/>
  <c r="K46" i="32"/>
  <c r="C46" i="32"/>
  <c r="C43" i="32"/>
  <c r="C49" i="32" s="1"/>
  <c r="K39" i="32"/>
  <c r="J39" i="32"/>
  <c r="H39" i="32"/>
  <c r="G39" i="32"/>
  <c r="F39" i="32"/>
  <c r="E39" i="32"/>
  <c r="D39" i="32"/>
  <c r="C39" i="32"/>
  <c r="K29" i="32"/>
  <c r="J29" i="32"/>
  <c r="H29" i="32"/>
  <c r="G29" i="32"/>
  <c r="F29" i="32"/>
  <c r="E29" i="32"/>
  <c r="D29" i="32"/>
  <c r="C29" i="32"/>
  <c r="K19" i="32"/>
  <c r="J19" i="32"/>
  <c r="I19" i="32"/>
  <c r="H19" i="32"/>
  <c r="G19" i="32"/>
  <c r="F19" i="32"/>
  <c r="E19" i="32"/>
  <c r="D19" i="32"/>
  <c r="C19" i="32"/>
  <c r="D9" i="32"/>
  <c r="E9" i="32"/>
  <c r="F9" i="32"/>
  <c r="G9" i="32"/>
  <c r="H9" i="32"/>
  <c r="I9" i="32"/>
  <c r="J9" i="32"/>
  <c r="K9" i="32"/>
  <c r="C9" i="32"/>
  <c r="P2" i="32"/>
  <c r="Q2" i="32" s="1"/>
  <c r="R2" i="32" s="1"/>
  <c r="O2" i="32"/>
  <c r="A1" i="32"/>
  <c r="D25" i="13"/>
  <c r="C25" i="13"/>
  <c r="E25" i="13"/>
  <c r="F25" i="13" s="1"/>
  <c r="F6" i="6" s="1"/>
  <c r="D33" i="13"/>
  <c r="E33" i="13"/>
  <c r="C32" i="13"/>
  <c r="D32" i="13"/>
  <c r="E32" i="13"/>
  <c r="E40" i="13"/>
  <c r="D40" i="13"/>
  <c r="C40" i="13"/>
  <c r="E39" i="13"/>
  <c r="D39" i="13"/>
  <c r="C39" i="13"/>
  <c r="E38" i="13"/>
  <c r="D38" i="13"/>
  <c r="C38" i="13"/>
  <c r="E54" i="13"/>
  <c r="E53" i="13"/>
  <c r="D53" i="13"/>
  <c r="C53" i="13"/>
  <c r="E52" i="13"/>
  <c r="D52" i="13"/>
  <c r="C52" i="13"/>
  <c r="E48" i="13"/>
  <c r="D48" i="13"/>
  <c r="C48" i="13"/>
  <c r="E47" i="13"/>
  <c r="F47" i="13" s="1"/>
  <c r="D47" i="13"/>
  <c r="C47" i="13"/>
  <c r="E46" i="13"/>
  <c r="F46" i="13" s="1"/>
  <c r="D46" i="13"/>
  <c r="C46" i="13"/>
  <c r="E45" i="13"/>
  <c r="D45" i="13"/>
  <c r="C45" i="13"/>
  <c r="E44" i="13"/>
  <c r="D44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D11" i="13"/>
  <c r="E11" i="13"/>
  <c r="C11" i="13"/>
  <c r="D11" i="8"/>
  <c r="E11" i="8"/>
  <c r="E12" i="8"/>
  <c r="C11" i="8"/>
  <c r="D7" i="8"/>
  <c r="E7" i="8"/>
  <c r="C7" i="8"/>
  <c r="E6" i="8"/>
  <c r="D6" i="8"/>
  <c r="C6" i="8"/>
  <c r="E5" i="8"/>
  <c r="D5" i="8"/>
  <c r="C5" i="8"/>
  <c r="E13" i="7"/>
  <c r="D13" i="7"/>
  <c r="C13" i="7"/>
  <c r="E12" i="7"/>
  <c r="D12" i="7"/>
  <c r="C12" i="7"/>
  <c r="E11" i="7"/>
  <c r="D11" i="7"/>
  <c r="C11" i="7"/>
  <c r="D35" i="7"/>
  <c r="C35" i="7"/>
  <c r="E35" i="7"/>
  <c r="D9" i="7"/>
  <c r="C9" i="7"/>
  <c r="E9" i="7"/>
  <c r="D8" i="7"/>
  <c r="C8" i="7"/>
  <c r="E8" i="7"/>
  <c r="D7" i="7"/>
  <c r="C7" i="7"/>
  <c r="E7" i="7"/>
  <c r="D5" i="7"/>
  <c r="C5" i="7"/>
  <c r="E5" i="7"/>
  <c r="C30" i="8"/>
  <c r="C32" i="8" s="1"/>
  <c r="C24" i="8"/>
  <c r="C8" i="8" s="1"/>
  <c r="C23" i="8"/>
  <c r="D30" i="8"/>
  <c r="D32" i="8" s="1"/>
  <c r="E36" i="8"/>
  <c r="E30" i="8"/>
  <c r="E32" i="8" s="1"/>
  <c r="D24" i="8"/>
  <c r="D8" i="8" s="1"/>
  <c r="D23" i="8"/>
  <c r="D25" i="8" s="1"/>
  <c r="E24" i="8"/>
  <c r="E8" i="8" s="1"/>
  <c r="E23" i="8"/>
  <c r="D15" i="8"/>
  <c r="C15" i="8"/>
  <c r="E15" i="8"/>
  <c r="E4" i="8" s="1"/>
  <c r="E22" i="7"/>
  <c r="C41" i="7"/>
  <c r="C40" i="7"/>
  <c r="C26" i="7"/>
  <c r="E31" i="7"/>
  <c r="E10" i="7" s="1"/>
  <c r="D31" i="7"/>
  <c r="D10" i="7" s="1"/>
  <c r="D26" i="7"/>
  <c r="E26" i="7"/>
  <c r="F8" i="3"/>
  <c r="F7" i="3"/>
  <c r="F6" i="3"/>
  <c r="G8" i="7"/>
  <c r="H8" i="7"/>
  <c r="I8" i="7"/>
  <c r="J8" i="7"/>
  <c r="G9" i="7"/>
  <c r="H9" i="7"/>
  <c r="I9" i="7"/>
  <c r="J9" i="7"/>
  <c r="A1" i="10"/>
  <c r="C10" i="5"/>
  <c r="C18" i="5" s="1"/>
  <c r="D2" i="5"/>
  <c r="E2" i="5" s="1"/>
  <c r="F7" i="7"/>
  <c r="F16" i="13"/>
  <c r="G16" i="13" s="1"/>
  <c r="F17" i="13"/>
  <c r="F11" i="7" s="1"/>
  <c r="G33" i="13"/>
  <c r="H33" i="13" s="1"/>
  <c r="I33" i="13" s="1"/>
  <c r="J33" i="13" s="1"/>
  <c r="F3" i="5"/>
  <c r="A1" i="23"/>
  <c r="J11" i="6"/>
  <c r="J30" i="6" s="1"/>
  <c r="I11" i="6"/>
  <c r="I30" i="6" s="1"/>
  <c r="H11" i="6"/>
  <c r="H16" i="6" s="1"/>
  <c r="H24" i="6" s="1"/>
  <c r="G11" i="6"/>
  <c r="G16" i="6" s="1"/>
  <c r="G24" i="6" s="1"/>
  <c r="F11" i="6"/>
  <c r="F30" i="6" s="1"/>
  <c r="E11" i="6"/>
  <c r="E16" i="6" s="1"/>
  <c r="E24" i="6" s="1"/>
  <c r="D11" i="6"/>
  <c r="D16" i="6" s="1"/>
  <c r="D24" i="6" s="1"/>
  <c r="C11" i="6"/>
  <c r="C30" i="6" s="1"/>
  <c r="F24" i="13"/>
  <c r="G24" i="13" s="1"/>
  <c r="F23" i="13"/>
  <c r="F4" i="6" s="1"/>
  <c r="D2" i="10"/>
  <c r="E2" i="10" s="1"/>
  <c r="F2" i="10" s="1"/>
  <c r="G2" i="10" s="1"/>
  <c r="H2" i="10" s="1"/>
  <c r="I2" i="10" s="1"/>
  <c r="J2" i="10" s="1"/>
  <c r="D2" i="9"/>
  <c r="E2" i="9"/>
  <c r="F2" i="9"/>
  <c r="G2" i="9"/>
  <c r="H2" i="9"/>
  <c r="I2" i="9"/>
  <c r="J2" i="9"/>
  <c r="J14" i="8"/>
  <c r="I14" i="8"/>
  <c r="H14" i="8"/>
  <c r="G14" i="8"/>
  <c r="F14" i="8"/>
  <c r="E14" i="8"/>
  <c r="D14" i="8"/>
  <c r="C14" i="8"/>
  <c r="F9" i="7"/>
  <c r="J15" i="7"/>
  <c r="I15" i="7"/>
  <c r="H15" i="7"/>
  <c r="G15" i="7"/>
  <c r="F15" i="7"/>
  <c r="E15" i="7"/>
  <c r="D15" i="7"/>
  <c r="C15" i="7"/>
  <c r="F52" i="13"/>
  <c r="D19" i="7"/>
  <c r="A1" i="3"/>
  <c r="A1" i="13"/>
  <c r="A1" i="5"/>
  <c r="A1" i="6"/>
  <c r="A1" i="7"/>
  <c r="A1" i="8"/>
  <c r="A1" i="9"/>
  <c r="A1" i="11"/>
  <c r="A1" i="12"/>
  <c r="C19" i="7"/>
  <c r="C31" i="7" s="1"/>
  <c r="C34" i="7" s="1"/>
  <c r="F8" i="6"/>
  <c r="F11" i="5"/>
  <c r="B21" i="5"/>
  <c r="B20" i="5"/>
  <c r="F9" i="6"/>
  <c r="G9" i="6"/>
  <c r="H9" i="6"/>
  <c r="I9" i="6"/>
  <c r="J9" i="6"/>
  <c r="J8" i="6"/>
  <c r="I8" i="6"/>
  <c r="H8" i="6"/>
  <c r="G8" i="6"/>
  <c r="J11" i="5"/>
  <c r="I11" i="5"/>
  <c r="H11" i="5"/>
  <c r="E2" i="12"/>
  <c r="F2" i="12"/>
  <c r="G2" i="12"/>
  <c r="F8" i="7"/>
  <c r="G11" i="5"/>
  <c r="C36" i="8" l="1"/>
  <c r="D12" i="8"/>
  <c r="D54" i="13" s="1"/>
  <c r="F34" i="8"/>
  <c r="F27" i="6" s="1"/>
  <c r="G17" i="6"/>
  <c r="G20" i="6" s="1"/>
  <c r="M19" i="32"/>
  <c r="N6" i="32"/>
  <c r="N8" i="32" s="1"/>
  <c r="P8" i="32" s="1"/>
  <c r="Q8" i="32" s="1"/>
  <c r="R8" i="32" s="1"/>
  <c r="L37" i="32"/>
  <c r="N36" i="32"/>
  <c r="N38" i="32" s="1"/>
  <c r="O38" i="32" s="1"/>
  <c r="P38" i="32" s="1"/>
  <c r="Q38" i="32" s="1"/>
  <c r="R38" i="32" s="1"/>
  <c r="M37" i="32"/>
  <c r="O36" i="32"/>
  <c r="P36" i="32" s="1"/>
  <c r="Q36" i="32" s="1"/>
  <c r="R36" i="32" s="1"/>
  <c r="M34" i="32"/>
  <c r="O33" i="32"/>
  <c r="N26" i="32"/>
  <c r="L24" i="32"/>
  <c r="L29" i="32"/>
  <c r="L30" i="32" s="1"/>
  <c r="L43" i="32"/>
  <c r="L45" i="32" s="1"/>
  <c r="L14" i="32"/>
  <c r="N13" i="32"/>
  <c r="L19" i="32"/>
  <c r="L20" i="32" s="1"/>
  <c r="M14" i="32"/>
  <c r="M7" i="32"/>
  <c r="N3" i="32"/>
  <c r="L39" i="32"/>
  <c r="L40" i="32" s="1"/>
  <c r="M39" i="32"/>
  <c r="L34" i="32"/>
  <c r="M29" i="32"/>
  <c r="M27" i="32"/>
  <c r="M24" i="32"/>
  <c r="N23" i="32"/>
  <c r="M46" i="32"/>
  <c r="M48" i="32" s="1"/>
  <c r="M17" i="32"/>
  <c r="N16" i="32"/>
  <c r="L46" i="32"/>
  <c r="L9" i="32"/>
  <c r="L10" i="32" s="1"/>
  <c r="L7" i="32"/>
  <c r="M9" i="32"/>
  <c r="M4" i="32"/>
  <c r="M43" i="32"/>
  <c r="M45" i="32" s="1"/>
  <c r="I43" i="32"/>
  <c r="I29" i="32"/>
  <c r="I49" i="32"/>
  <c r="K49" i="32"/>
  <c r="J49" i="32"/>
  <c r="H49" i="32"/>
  <c r="F49" i="32"/>
  <c r="E49" i="32"/>
  <c r="G46" i="13"/>
  <c r="H46" i="13" s="1"/>
  <c r="E10" i="8"/>
  <c r="C10" i="8"/>
  <c r="D10" i="8"/>
  <c r="C25" i="8"/>
  <c r="E16" i="8"/>
  <c r="E25" i="8"/>
  <c r="E20" i="8"/>
  <c r="D4" i="8"/>
  <c r="D16" i="8"/>
  <c r="D20" i="8" s="1"/>
  <c r="D27" i="8" s="1"/>
  <c r="C16" i="8"/>
  <c r="C20" i="8" s="1"/>
  <c r="C27" i="8" s="1"/>
  <c r="C4" i="8"/>
  <c r="C44" i="13" s="1"/>
  <c r="C10" i="7"/>
  <c r="C39" i="8"/>
  <c r="D39" i="8"/>
  <c r="D34" i="7"/>
  <c r="D23" i="7"/>
  <c r="F9" i="3"/>
  <c r="G30" i="6"/>
  <c r="E30" i="6"/>
  <c r="F5" i="6"/>
  <c r="G10" i="7"/>
  <c r="H16" i="13"/>
  <c r="G5" i="6"/>
  <c r="H24" i="13"/>
  <c r="G25" i="13"/>
  <c r="G6" i="6" s="1"/>
  <c r="G17" i="13"/>
  <c r="G52" i="13"/>
  <c r="G13" i="13"/>
  <c r="G23" i="13"/>
  <c r="G4" i="6" s="1"/>
  <c r="D10" i="5"/>
  <c r="D18" i="5" s="1"/>
  <c r="E10" i="5"/>
  <c r="E18" i="5" s="1"/>
  <c r="F2" i="5"/>
  <c r="F16" i="6"/>
  <c r="F24" i="6" s="1"/>
  <c r="D30" i="6"/>
  <c r="J16" i="6"/>
  <c r="J24" i="6" s="1"/>
  <c r="C16" i="6"/>
  <c r="C24" i="6" s="1"/>
  <c r="I16" i="6"/>
  <c r="I24" i="6" s="1"/>
  <c r="H30" i="6"/>
  <c r="E39" i="8"/>
  <c r="E27" i="8"/>
  <c r="F4" i="5"/>
  <c r="I46" i="13"/>
  <c r="C23" i="7"/>
  <c r="G47" i="13"/>
  <c r="F44" i="13"/>
  <c r="F53" i="13"/>
  <c r="F45" i="13"/>
  <c r="E19" i="7"/>
  <c r="F48" i="13"/>
  <c r="F54" i="13"/>
  <c r="H17" i="6" l="1"/>
  <c r="H20" i="6" s="1"/>
  <c r="G34" i="8"/>
  <c r="G4" i="5"/>
  <c r="H4" i="5" s="1"/>
  <c r="I4" i="5" s="1"/>
  <c r="J4" i="5" s="1"/>
  <c r="F8" i="5"/>
  <c r="F21" i="7" s="1"/>
  <c r="F4" i="9" s="1"/>
  <c r="F8" i="10" s="1"/>
  <c r="N19" i="32"/>
  <c r="N21" i="32" s="1"/>
  <c r="M10" i="32"/>
  <c r="O6" i="32"/>
  <c r="P6" i="32" s="1"/>
  <c r="M30" i="32"/>
  <c r="N39" i="32"/>
  <c r="N41" i="32" s="1"/>
  <c r="P33" i="32"/>
  <c r="O39" i="32"/>
  <c r="M40" i="32"/>
  <c r="L44" i="32"/>
  <c r="M44" i="32"/>
  <c r="N28" i="32"/>
  <c r="O28" i="32" s="1"/>
  <c r="P28" i="32" s="1"/>
  <c r="Q28" i="32" s="1"/>
  <c r="R28" i="32" s="1"/>
  <c r="O26" i="32"/>
  <c r="P26" i="32" s="1"/>
  <c r="Q26" i="32" s="1"/>
  <c r="R26" i="32" s="1"/>
  <c r="N25" i="32"/>
  <c r="O25" i="32" s="1"/>
  <c r="P25" i="32" s="1"/>
  <c r="Q25" i="32" s="1"/>
  <c r="R25" i="32" s="1"/>
  <c r="O23" i="32"/>
  <c r="N18" i="32"/>
  <c r="O18" i="32" s="1"/>
  <c r="P18" i="32" s="1"/>
  <c r="Q18" i="32" s="1"/>
  <c r="R18" i="32" s="1"/>
  <c r="N46" i="32"/>
  <c r="M20" i="32"/>
  <c r="N15" i="32"/>
  <c r="O15" i="32" s="1"/>
  <c r="P15" i="32" s="1"/>
  <c r="Q15" i="32" s="1"/>
  <c r="R15" i="32" s="1"/>
  <c r="L47" i="32"/>
  <c r="L48" i="32"/>
  <c r="N5" i="32"/>
  <c r="P5" i="32" s="1"/>
  <c r="Q5" i="32" s="1"/>
  <c r="R5" i="32" s="1"/>
  <c r="N9" i="32"/>
  <c r="N11" i="32" s="1"/>
  <c r="L49" i="32"/>
  <c r="N43" i="32"/>
  <c r="N45" i="32" s="1"/>
  <c r="N29" i="32"/>
  <c r="N31" i="32" s="1"/>
  <c r="M47" i="32"/>
  <c r="M49" i="32"/>
  <c r="M51" i="32" s="1"/>
  <c r="H17" i="13"/>
  <c r="G11" i="7"/>
  <c r="D41" i="7"/>
  <c r="D40" i="7"/>
  <c r="C41" i="8"/>
  <c r="D41" i="8"/>
  <c r="E41" i="8"/>
  <c r="H25" i="13"/>
  <c r="I25" i="13" s="1"/>
  <c r="H10" i="7"/>
  <c r="I16" i="13"/>
  <c r="H5" i="6"/>
  <c r="I24" i="13"/>
  <c r="H23" i="13"/>
  <c r="H13" i="13"/>
  <c r="G7" i="7"/>
  <c r="H52" i="13"/>
  <c r="G2" i="5"/>
  <c r="F10" i="5"/>
  <c r="F18" i="5" s="1"/>
  <c r="G3" i="5"/>
  <c r="H4" i="6"/>
  <c r="I23" i="13"/>
  <c r="J46" i="13"/>
  <c r="G45" i="13"/>
  <c r="G44" i="13"/>
  <c r="H44" i="13" s="1"/>
  <c r="I44" i="13" s="1"/>
  <c r="J44" i="13" s="1"/>
  <c r="G12" i="13"/>
  <c r="F12" i="8"/>
  <c r="G54" i="13"/>
  <c r="G12" i="8" s="1"/>
  <c r="G48" i="13"/>
  <c r="G11" i="13"/>
  <c r="E34" i="7"/>
  <c r="E23" i="7"/>
  <c r="F11" i="8"/>
  <c r="G53" i="13"/>
  <c r="H47" i="13"/>
  <c r="I17" i="6" l="1"/>
  <c r="I20" i="6" s="1"/>
  <c r="H34" i="8"/>
  <c r="N49" i="32"/>
  <c r="N51" i="32" s="1"/>
  <c r="N48" i="32"/>
  <c r="O41" i="32"/>
  <c r="O16" i="32"/>
  <c r="P39" i="32"/>
  <c r="P41" i="32" s="1"/>
  <c r="Q33" i="32"/>
  <c r="O29" i="32"/>
  <c r="O31" i="32" s="1"/>
  <c r="P23" i="32"/>
  <c r="O13" i="32"/>
  <c r="Q6" i="32"/>
  <c r="M50" i="32"/>
  <c r="L51" i="32"/>
  <c r="O3" i="32"/>
  <c r="L50" i="32"/>
  <c r="H11" i="7"/>
  <c r="I17" i="13"/>
  <c r="E41" i="7"/>
  <c r="E40" i="7"/>
  <c r="H6" i="6"/>
  <c r="I10" i="7"/>
  <c r="J16" i="13"/>
  <c r="J24" i="13"/>
  <c r="I5" i="6"/>
  <c r="I52" i="13"/>
  <c r="G5" i="7"/>
  <c r="H11" i="13"/>
  <c r="I13" i="13"/>
  <c r="H7" i="7"/>
  <c r="H12" i="13"/>
  <c r="G6" i="7"/>
  <c r="H2" i="5"/>
  <c r="G10" i="5"/>
  <c r="G18" i="5" s="1"/>
  <c r="I4" i="6"/>
  <c r="J23" i="13"/>
  <c r="H3" i="5"/>
  <c r="J25" i="13"/>
  <c r="I6" i="6"/>
  <c r="H53" i="13"/>
  <c r="F5" i="7"/>
  <c r="H48" i="13"/>
  <c r="H54" i="13"/>
  <c r="H12" i="8" s="1"/>
  <c r="I47" i="13"/>
  <c r="F6" i="7"/>
  <c r="H45" i="13"/>
  <c r="J17" i="6" l="1"/>
  <c r="J20" i="6" s="1"/>
  <c r="J34" i="8" s="1"/>
  <c r="I34" i="8"/>
  <c r="F7" i="13"/>
  <c r="F10" i="13" s="1"/>
  <c r="F4" i="7" s="1"/>
  <c r="P16" i="32"/>
  <c r="O46" i="32"/>
  <c r="O48" i="32" s="1"/>
  <c r="R33" i="32"/>
  <c r="R39" i="32" s="1"/>
  <c r="Q39" i="32"/>
  <c r="Q41" i="32" s="1"/>
  <c r="Q23" i="32"/>
  <c r="P29" i="32"/>
  <c r="P31" i="32" s="1"/>
  <c r="P13" i="32"/>
  <c r="O19" i="32"/>
  <c r="O21" i="32" s="1"/>
  <c r="R6" i="32"/>
  <c r="P3" i="32"/>
  <c r="O43" i="32"/>
  <c r="O9" i="32"/>
  <c r="O11" i="32" s="1"/>
  <c r="I11" i="7"/>
  <c r="J17" i="13"/>
  <c r="J11" i="7" s="1"/>
  <c r="J10" i="7"/>
  <c r="J5" i="6"/>
  <c r="I12" i="13"/>
  <c r="H6" i="7"/>
  <c r="J13" i="13"/>
  <c r="I7" i="7"/>
  <c r="I11" i="13"/>
  <c r="H5" i="7"/>
  <c r="J52" i="13"/>
  <c r="I2" i="5"/>
  <c r="H10" i="5"/>
  <c r="H18" i="5" s="1"/>
  <c r="I3" i="5"/>
  <c r="J4" i="6"/>
  <c r="J6" i="6"/>
  <c r="J47" i="13"/>
  <c r="I54" i="13"/>
  <c r="I12" i="8" s="1"/>
  <c r="I48" i="13"/>
  <c r="I45" i="13"/>
  <c r="E4" i="11"/>
  <c r="L4" i="11" s="1"/>
  <c r="L5" i="11" s="1"/>
  <c r="L6" i="11" s="1"/>
  <c r="L7" i="11" s="1"/>
  <c r="I53" i="13"/>
  <c r="Q16" i="32" l="1"/>
  <c r="P46" i="32"/>
  <c r="P48" i="32" s="1"/>
  <c r="R41" i="32"/>
  <c r="R23" i="32"/>
  <c r="R29" i="32" s="1"/>
  <c r="Q29" i="32"/>
  <c r="Q31" i="32" s="1"/>
  <c r="Q13" i="32"/>
  <c r="P19" i="32"/>
  <c r="P21" i="32" s="1"/>
  <c r="O45" i="32"/>
  <c r="O49" i="32"/>
  <c r="O51" i="32" s="1"/>
  <c r="Q3" i="32"/>
  <c r="P43" i="32"/>
  <c r="P9" i="32"/>
  <c r="P11" i="32" s="1"/>
  <c r="H18" i="13"/>
  <c r="G12" i="7"/>
  <c r="J11" i="13"/>
  <c r="I5" i="7"/>
  <c r="J7" i="7"/>
  <c r="I6" i="7"/>
  <c r="J12" i="13"/>
  <c r="J2" i="5"/>
  <c r="I10" i="5"/>
  <c r="I18" i="5" s="1"/>
  <c r="J3" i="5"/>
  <c r="J45" i="13"/>
  <c r="J48" i="13"/>
  <c r="J54" i="13"/>
  <c r="J12" i="8" s="1"/>
  <c r="J53" i="13"/>
  <c r="F10" i="7"/>
  <c r="E12" i="11"/>
  <c r="F39" i="13"/>
  <c r="F12" i="7"/>
  <c r="F38" i="7" s="1"/>
  <c r="F36" i="7" l="1"/>
  <c r="F15" i="5" s="1"/>
  <c r="G7" i="13"/>
  <c r="G10" i="13"/>
  <c r="G4" i="7" s="1"/>
  <c r="G8" i="13"/>
  <c r="R16" i="32"/>
  <c r="R46" i="32" s="1"/>
  <c r="Q46" i="32"/>
  <c r="Q48" i="32" s="1"/>
  <c r="R31" i="32"/>
  <c r="Q19" i="32"/>
  <c r="Q21" i="32" s="1"/>
  <c r="R13" i="32"/>
  <c r="P49" i="32"/>
  <c r="P51" i="32" s="1"/>
  <c r="P45" i="32"/>
  <c r="R3" i="32"/>
  <c r="Q9" i="32"/>
  <c r="Q11" i="32" s="1"/>
  <c r="Q43" i="32"/>
  <c r="G13" i="7"/>
  <c r="H19" i="13"/>
  <c r="J6" i="7"/>
  <c r="J5" i="7"/>
  <c r="I18" i="13"/>
  <c r="H12" i="7"/>
  <c r="J10" i="5"/>
  <c r="J18" i="5" s="1"/>
  <c r="G39" i="13"/>
  <c r="M4" i="11"/>
  <c r="F40" i="13"/>
  <c r="F13" i="7"/>
  <c r="F39" i="7" s="1"/>
  <c r="F14" i="9" l="1"/>
  <c r="F17" i="9" s="1"/>
  <c r="H8" i="13"/>
  <c r="H7" i="13"/>
  <c r="H10" i="13" s="1"/>
  <c r="H4" i="7" s="1"/>
  <c r="R19" i="32"/>
  <c r="R21" i="32" s="1"/>
  <c r="R48" i="32"/>
  <c r="Q45" i="32"/>
  <c r="Q49" i="32"/>
  <c r="Q51" i="32" s="1"/>
  <c r="R43" i="32"/>
  <c r="R9" i="32"/>
  <c r="R11" i="32" s="1"/>
  <c r="H13" i="7"/>
  <c r="I19" i="13"/>
  <c r="J18" i="13"/>
  <c r="I12" i="7"/>
  <c r="M5" i="11"/>
  <c r="H39" i="13"/>
  <c r="G40" i="13"/>
  <c r="I7" i="13" l="1"/>
  <c r="I10" i="13" s="1"/>
  <c r="I4" i="7" s="1"/>
  <c r="I8" i="13"/>
  <c r="R45" i="32"/>
  <c r="R49" i="32"/>
  <c r="R51" i="32" s="1"/>
  <c r="J12" i="7"/>
  <c r="J19" i="13"/>
  <c r="I13" i="7"/>
  <c r="H40" i="13"/>
  <c r="M6" i="11"/>
  <c r="M7" i="11"/>
  <c r="I39" i="13"/>
  <c r="J7" i="13" l="1"/>
  <c r="J8" i="13"/>
  <c r="J10" i="13"/>
  <c r="J4" i="7" s="1"/>
  <c r="J13" i="7"/>
  <c r="M9" i="11"/>
  <c r="M11" i="11" s="1"/>
  <c r="E7" i="11" s="1"/>
  <c r="E8" i="11" s="1"/>
  <c r="E13" i="11" s="1"/>
  <c r="I40" i="13"/>
  <c r="J39" i="13"/>
  <c r="F3" i="12" l="1"/>
  <c r="G3" i="12"/>
  <c r="H3" i="12"/>
  <c r="L12" i="12"/>
  <c r="D3" i="12"/>
  <c r="E3" i="12"/>
  <c r="J40" i="13"/>
  <c r="F16" i="7" l="1"/>
  <c r="F24" i="8" s="1"/>
  <c r="F31" i="8" l="1"/>
  <c r="F24" i="5" s="1"/>
  <c r="F17" i="7"/>
  <c r="F3" i="10"/>
  <c r="F35" i="8"/>
  <c r="G16" i="7"/>
  <c r="F18" i="7"/>
  <c r="F7" i="5"/>
  <c r="F19" i="8"/>
  <c r="F22" i="5" s="1"/>
  <c r="F15" i="8"/>
  <c r="F17" i="8"/>
  <c r="F21" i="5" s="1"/>
  <c r="G17" i="8" l="1"/>
  <c r="G21" i="5" s="1"/>
  <c r="G19" i="8"/>
  <c r="G22" i="5" s="1"/>
  <c r="G15" i="8"/>
  <c r="G35" i="8"/>
  <c r="G31" i="8"/>
  <c r="G24" i="5" s="1"/>
  <c r="G24" i="8"/>
  <c r="F18" i="8"/>
  <c r="F20" i="5" s="1"/>
  <c r="F30" i="8"/>
  <c r="H16" i="7"/>
  <c r="G3" i="10"/>
  <c r="G7" i="5"/>
  <c r="G11" i="9" s="1"/>
  <c r="G17" i="7"/>
  <c r="G18" i="7"/>
  <c r="F23" i="5"/>
  <c r="F11" i="9"/>
  <c r="F9" i="5"/>
  <c r="F7" i="9"/>
  <c r="F11" i="10" s="1"/>
  <c r="F8" i="9"/>
  <c r="F12" i="10" s="1"/>
  <c r="F36" i="8"/>
  <c r="F19" i="7"/>
  <c r="F19" i="5"/>
  <c r="G18" i="8" l="1"/>
  <c r="G20" i="5" s="1"/>
  <c r="G30" i="8"/>
  <c r="H24" i="8"/>
  <c r="H15" i="8"/>
  <c r="H17" i="8"/>
  <c r="H21" i="5" s="1"/>
  <c r="H31" i="8"/>
  <c r="H35" i="8"/>
  <c r="H19" i="8"/>
  <c r="H22" i="5" s="1"/>
  <c r="G8" i="9"/>
  <c r="G36" i="8"/>
  <c r="H7" i="9"/>
  <c r="H11" i="10" s="1"/>
  <c r="G7" i="9"/>
  <c r="G11" i="10" s="1"/>
  <c r="G19" i="7"/>
  <c r="G31" i="7" s="1"/>
  <c r="G33" i="7" s="1"/>
  <c r="G34" i="7" s="1"/>
  <c r="G3" i="9" s="1"/>
  <c r="F25" i="5"/>
  <c r="F26" i="5" s="1"/>
  <c r="F6" i="9" s="1"/>
  <c r="F10" i="10" s="1"/>
  <c r="F23" i="7"/>
  <c r="F4" i="10"/>
  <c r="F7" i="10" s="1"/>
  <c r="F31" i="7"/>
  <c r="F13" i="10"/>
  <c r="F12" i="9"/>
  <c r="G23" i="5"/>
  <c r="G6" i="5"/>
  <c r="F22" i="8"/>
  <c r="F25" i="8" s="1"/>
  <c r="G19" i="5"/>
  <c r="G12" i="9"/>
  <c r="G13" i="10"/>
  <c r="G12" i="10"/>
  <c r="H24" i="5"/>
  <c r="I16" i="7"/>
  <c r="H17" i="7"/>
  <c r="H7" i="5"/>
  <c r="H11" i="9" s="1"/>
  <c r="H3" i="10"/>
  <c r="H18" i="7"/>
  <c r="I15" i="8" l="1"/>
  <c r="I17" i="8"/>
  <c r="I21" i="5" s="1"/>
  <c r="I24" i="8"/>
  <c r="I7" i="9" s="1"/>
  <c r="I11" i="10" s="1"/>
  <c r="I19" i="8"/>
  <c r="I22" i="5" s="1"/>
  <c r="I35" i="8"/>
  <c r="I31" i="8"/>
  <c r="H18" i="8"/>
  <c r="H20" i="5" s="1"/>
  <c r="H30" i="8"/>
  <c r="H23" i="5" s="1"/>
  <c r="H36" i="8"/>
  <c r="H8" i="9"/>
  <c r="H12" i="10" s="1"/>
  <c r="G4" i="10"/>
  <c r="G7" i="10" s="1"/>
  <c r="H19" i="7"/>
  <c r="J16" i="7"/>
  <c r="I24" i="5"/>
  <c r="I3" i="10"/>
  <c r="I7" i="5"/>
  <c r="I11" i="9" s="1"/>
  <c r="I17" i="7"/>
  <c r="I18" i="7"/>
  <c r="H19" i="5"/>
  <c r="G25" i="5"/>
  <c r="F33" i="7"/>
  <c r="F34" i="7" s="1"/>
  <c r="H12" i="9"/>
  <c r="H13" i="10"/>
  <c r="G8" i="5"/>
  <c r="G21" i="7" s="1"/>
  <c r="G4" i="9" s="1"/>
  <c r="G14" i="5"/>
  <c r="G40" i="7"/>
  <c r="G41" i="7"/>
  <c r="F15" i="10"/>
  <c r="D4" i="12" s="1"/>
  <c r="I18" i="8" l="1"/>
  <c r="I20" i="5" s="1"/>
  <c r="I30" i="8"/>
  <c r="J15" i="8"/>
  <c r="J17" i="8"/>
  <c r="J24" i="8"/>
  <c r="J7" i="9" s="1"/>
  <c r="J11" i="10" s="1"/>
  <c r="J19" i="8"/>
  <c r="J22" i="5" s="1"/>
  <c r="J31" i="8"/>
  <c r="J24" i="5" s="1"/>
  <c r="J35" i="8"/>
  <c r="I36" i="8"/>
  <c r="I8" i="9"/>
  <c r="I12" i="10" s="1"/>
  <c r="H25" i="5"/>
  <c r="G9" i="5"/>
  <c r="F14" i="5"/>
  <c r="F17" i="5" s="1"/>
  <c r="F40" i="7"/>
  <c r="F41" i="7"/>
  <c r="F3" i="9"/>
  <c r="F9" i="9" s="1"/>
  <c r="F19" i="9" s="1"/>
  <c r="F22" i="9" s="1"/>
  <c r="F23" i="9" s="1"/>
  <c r="I23" i="5"/>
  <c r="G8" i="10"/>
  <c r="G23" i="7"/>
  <c r="J21" i="5"/>
  <c r="J3" i="10"/>
  <c r="J18" i="7"/>
  <c r="J7" i="5"/>
  <c r="J11" i="9" s="1"/>
  <c r="J17" i="7"/>
  <c r="H26" i="5"/>
  <c r="G26" i="5"/>
  <c r="I19" i="7"/>
  <c r="H4" i="10"/>
  <c r="H7" i="10" s="1"/>
  <c r="H31" i="7"/>
  <c r="I12" i="9"/>
  <c r="I13" i="10"/>
  <c r="I19" i="5"/>
  <c r="G21" i="9" l="1"/>
  <c r="F29" i="8"/>
  <c r="H6" i="5"/>
  <c r="G22" i="8"/>
  <c r="G25" i="8" s="1"/>
  <c r="J18" i="8"/>
  <c r="J20" i="5" s="1"/>
  <c r="J30" i="8"/>
  <c r="J36" i="8"/>
  <c r="J8" i="9"/>
  <c r="J12" i="10" s="1"/>
  <c r="G6" i="9"/>
  <c r="G9" i="9" s="1"/>
  <c r="G19" i="9" s="1"/>
  <c r="G22" i="9" s="1"/>
  <c r="H6" i="9"/>
  <c r="J19" i="7"/>
  <c r="J4" i="10" s="1"/>
  <c r="J7" i="10" s="1"/>
  <c r="H33" i="7"/>
  <c r="H34" i="7" s="1"/>
  <c r="H3" i="9" s="1"/>
  <c r="I4" i="10"/>
  <c r="I7" i="10" s="1"/>
  <c r="I31" i="7"/>
  <c r="J23" i="5"/>
  <c r="J12" i="9"/>
  <c r="J13" i="10"/>
  <c r="I25" i="5"/>
  <c r="J19" i="5"/>
  <c r="H8" i="5"/>
  <c r="H21" i="7" s="1"/>
  <c r="H4" i="9" s="1"/>
  <c r="F16" i="8"/>
  <c r="F32" i="8"/>
  <c r="F38" i="8"/>
  <c r="G13" i="5"/>
  <c r="G17" i="5" s="1"/>
  <c r="G38" i="8" s="1"/>
  <c r="G23" i="9" l="1"/>
  <c r="H21" i="9" s="1"/>
  <c r="G10" i="10"/>
  <c r="G15" i="10" s="1"/>
  <c r="E4" i="12" s="1"/>
  <c r="H9" i="9"/>
  <c r="H10" i="10"/>
  <c r="H9" i="5"/>
  <c r="H22" i="8" s="1"/>
  <c r="H25" i="8" s="1"/>
  <c r="J31" i="7"/>
  <c r="J33" i="7" s="1"/>
  <c r="J34" i="7" s="1"/>
  <c r="J3" i="9" s="1"/>
  <c r="F39" i="8"/>
  <c r="J25" i="5"/>
  <c r="J26" i="5" s="1"/>
  <c r="H40" i="7"/>
  <c r="H41" i="7"/>
  <c r="H14" i="5"/>
  <c r="F31" i="6"/>
  <c r="F33" i="6" s="1"/>
  <c r="F20" i="8"/>
  <c r="F27" i="8" s="1"/>
  <c r="H13" i="5"/>
  <c r="H23" i="7"/>
  <c r="H8" i="10"/>
  <c r="H15" i="10" s="1"/>
  <c r="F4" i="12" s="1"/>
  <c r="I26" i="5"/>
  <c r="I6" i="5"/>
  <c r="I33" i="7"/>
  <c r="I34" i="7" s="1"/>
  <c r="I3" i="9" s="1"/>
  <c r="J40" i="7" l="1"/>
  <c r="J41" i="7"/>
  <c r="J14" i="5"/>
  <c r="G29" i="8"/>
  <c r="I6" i="9"/>
  <c r="J6" i="9"/>
  <c r="J10" i="10" s="1"/>
  <c r="G16" i="8"/>
  <c r="G32" i="8"/>
  <c r="G39" i="8" s="1"/>
  <c r="H17" i="5"/>
  <c r="H38" i="8" s="1"/>
  <c r="F41" i="8"/>
  <c r="H19" i="9"/>
  <c r="H22" i="9" s="1"/>
  <c r="H23" i="9" s="1"/>
  <c r="I40" i="7"/>
  <c r="I14" i="5"/>
  <c r="I41" i="7"/>
  <c r="I8" i="5"/>
  <c r="I21" i="7" s="1"/>
  <c r="I4" i="9" s="1"/>
  <c r="I21" i="9" l="1"/>
  <c r="H29" i="8"/>
  <c r="I9" i="9"/>
  <c r="I10" i="10"/>
  <c r="G20" i="8"/>
  <c r="G27" i="8" s="1"/>
  <c r="G41" i="8" s="1"/>
  <c r="I13" i="5"/>
  <c r="I17" i="5" s="1"/>
  <c r="I38" i="8" s="1"/>
  <c r="I9" i="5"/>
  <c r="I23" i="7"/>
  <c r="I8" i="10"/>
  <c r="I15" i="10" s="1"/>
  <c r="G4" i="12" s="1"/>
  <c r="J6" i="5" l="1"/>
  <c r="I22" i="8"/>
  <c r="I25" i="8" s="1"/>
  <c r="H16" i="8"/>
  <c r="H32" i="8"/>
  <c r="H39" i="8" s="1"/>
  <c r="J13" i="5"/>
  <c r="J17" i="5" s="1"/>
  <c r="J38" i="8" s="1"/>
  <c r="I19" i="9"/>
  <c r="I22" i="9" s="1"/>
  <c r="I23" i="9" s="1"/>
  <c r="J8" i="5"/>
  <c r="J21" i="7" s="1"/>
  <c r="J4" i="9" s="1"/>
  <c r="J9" i="9" s="1"/>
  <c r="J21" i="9" l="1"/>
  <c r="I29" i="8"/>
  <c r="H20" i="8"/>
  <c r="H27" i="8" s="1"/>
  <c r="H41" i="8" s="1"/>
  <c r="J9" i="5"/>
  <c r="J22" i="8" s="1"/>
  <c r="J25" i="8" s="1"/>
  <c r="J23" i="7"/>
  <c r="G8" i="12" s="1"/>
  <c r="I16" i="8" l="1"/>
  <c r="I32" i="8"/>
  <c r="I39" i="8" s="1"/>
  <c r="J8" i="10"/>
  <c r="J15" i="10" s="1"/>
  <c r="H4" i="12" s="1"/>
  <c r="H5" i="12" s="1"/>
  <c r="J19" i="9"/>
  <c r="J22" i="9" s="1"/>
  <c r="J23" i="9" s="1"/>
  <c r="J29" i="8" s="1"/>
  <c r="I20" i="8" l="1"/>
  <c r="I27" i="8" s="1"/>
  <c r="I41" i="8" s="1"/>
  <c r="C8" i="12"/>
  <c r="C7" i="12"/>
  <c r="G7" i="12" s="1"/>
  <c r="G9" i="12" s="1"/>
  <c r="G15" i="12" s="1"/>
  <c r="G18" i="12" s="1"/>
  <c r="J16" i="8" l="1"/>
  <c r="J20" i="8" s="1"/>
  <c r="J27" i="8" s="1"/>
  <c r="J32" i="8"/>
  <c r="J39" i="8" s="1"/>
  <c r="C9" i="12"/>
  <c r="C15" i="12" s="1"/>
  <c r="C18" i="12" s="1"/>
  <c r="J4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Ascoli</author>
    <author>Alan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  <family val="2"/>
          </rPr>
          <t>Latest historical year</t>
        </r>
      </text>
    </comment>
    <comment ref="F8" authorId="1" shapeId="0" xr:uid="{0E5ACB07-35AD-4B55-8FF6-AD36FB53AE06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purely operating lease liabilities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N51" authorId="0" shapeId="0" xr:uid="{272D16EA-D1D9-4C44-811D-1E1B4187E75E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Slow outlook for 2025, growth resuming after tariff shock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F27" authorId="0" shapeId="0" xr:uid="{B413BA53-39C7-4DFF-A206-A9464FFE6349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2024 10-k Pg. 55 noted to purchase 13.6 million of rou assets</t>
        </r>
      </text>
    </comment>
    <comment ref="F34" authorId="0" shapeId="0" xr:uid="{5E212B9C-9E85-4744-9258-63D6A171CAB1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630 million left in the repurchase program</t>
        </r>
      </text>
    </comment>
    <comment ref="G34" authorId="0" shapeId="0" xr:uid="{E68BD46B-E62B-4450-A685-36CE4B78AFD6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630 million left in the repurchase program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C22" authorId="0" shapeId="0" xr:uid="{6837E1AC-202F-4220-93DF-B2D255492508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Rounded values bas</t>
        </r>
      </text>
    </comment>
    <comment ref="C25" authorId="0" shapeId="0" xr:uid="{EEC06589-B518-4763-BB2A-AF5D1B3FF59B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Impairment </t>
        </r>
      </text>
    </comment>
    <comment ref="D25" authorId="0" shapeId="0" xr:uid="{4BE93728-8FD0-44C5-B874-3AFAAA57C2A1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Impairment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C34" authorId="0" shapeId="0" xr:uid="{38EE7691-E2D4-4A1D-A66E-27827A605F5A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ROU, doesn't incur interest</t>
        </r>
      </text>
    </comment>
    <comment ref="D34" authorId="0" shapeId="0" xr:uid="{606D3873-8EC2-4CAE-8FF9-BB77E4E4942B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ROU, doesn't incur interest</t>
        </r>
      </text>
    </comment>
    <comment ref="E34" authorId="0" shapeId="0" xr:uid="{E4533CF5-67FF-4109-AE06-F44C9D1571A3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ROU, doesn't incur interest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Chen</author>
  </authors>
  <commentList>
    <comment ref="G10" authorId="0" shapeId="0" xr:uid="{1083F158-90D8-4485-AB2E-5BC81D005AE5}">
      <text>
        <r>
          <rPr>
            <b/>
            <sz val="9"/>
            <color indexed="81"/>
            <rFont val="Tahoma"/>
            <family val="2"/>
          </rPr>
          <t>Alan Chen:</t>
        </r>
        <r>
          <rPr>
            <sz val="9"/>
            <color indexed="81"/>
            <rFont val="Tahoma"/>
            <family val="2"/>
          </rPr>
          <t xml:space="preserve">
Fixed for full year instead of mid-year convention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E13" authorId="0" shapeId="0" xr:uid="{8ED177CE-7495-4307-9713-A4BEEC24074A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 in thousands</t>
        </r>
      </text>
    </comment>
  </commentList>
</comments>
</file>

<file path=xl/sharedStrings.xml><?xml version="1.0" encoding="utf-8"?>
<sst xmlns="http://schemas.openxmlformats.org/spreadsheetml/2006/main" count="451" uniqueCount="248">
  <si>
    <t>Hist.</t>
  </si>
  <si>
    <t>Proj.</t>
  </si>
  <si>
    <t>Analyst name</t>
  </si>
  <si>
    <t>Company name</t>
  </si>
  <si>
    <t>Latest BS date</t>
  </si>
  <si>
    <t>Currency</t>
  </si>
  <si>
    <t>Units</t>
  </si>
  <si>
    <t>Circular switch</t>
  </si>
  <si>
    <t>USD</t>
  </si>
  <si>
    <t>Assumptions</t>
  </si>
  <si>
    <t>Net PP&amp;E</t>
  </si>
  <si>
    <t>Capital expenditure % of sales</t>
  </si>
  <si>
    <t>Beginning PP&amp;E</t>
  </si>
  <si>
    <t>Capex</t>
  </si>
  <si>
    <t>Depreciation</t>
  </si>
  <si>
    <t>Ending PP&amp;E</t>
  </si>
  <si>
    <t>Equity</t>
  </si>
  <si>
    <t>Share issuance/(repurchases)</t>
  </si>
  <si>
    <t>Beginning balance</t>
  </si>
  <si>
    <t>Net income</t>
  </si>
  <si>
    <t>Dividends paid</t>
  </si>
  <si>
    <t>Share issuance / (repurchase)</t>
  </si>
  <si>
    <t>Ending balance</t>
  </si>
  <si>
    <t>OWC</t>
  </si>
  <si>
    <t>Interest rate on revolver</t>
  </si>
  <si>
    <t>Interest rate on long-term debt</t>
  </si>
  <si>
    <t>Interest rate on cash</t>
  </si>
  <si>
    <t>Issuance of long-term debt</t>
  </si>
  <si>
    <t>Repayment of long-term debt</t>
  </si>
  <si>
    <t>Revolver</t>
  </si>
  <si>
    <t>Balance</t>
  </si>
  <si>
    <t>Interest rate</t>
  </si>
  <si>
    <t>Interest expense</t>
  </si>
  <si>
    <t>Long term debt</t>
  </si>
  <si>
    <t>Issuance</t>
  </si>
  <si>
    <t>Repayment</t>
  </si>
  <si>
    <t>Debt summary</t>
  </si>
  <si>
    <t>Total long term debt</t>
  </si>
  <si>
    <t xml:space="preserve"> Total debt</t>
  </si>
  <si>
    <t xml:space="preserve"> Total interest expense</t>
  </si>
  <si>
    <t>Interest income</t>
  </si>
  <si>
    <t>Income statement</t>
  </si>
  <si>
    <t>Revenue growth</t>
  </si>
  <si>
    <t>Cost of goods sold as % of sales</t>
  </si>
  <si>
    <t>SG&amp;A % of sales</t>
  </si>
  <si>
    <t>Amortization amount</t>
  </si>
  <si>
    <t>Non recurring items, amount</t>
  </si>
  <si>
    <t>Effective tax rate</t>
  </si>
  <si>
    <t>Basic WASO</t>
  </si>
  <si>
    <t>Diluted WASO</t>
  </si>
  <si>
    <t>Revenue</t>
  </si>
  <si>
    <t>SG&amp;A</t>
  </si>
  <si>
    <t>EBITDA</t>
  </si>
  <si>
    <t>Amortization</t>
  </si>
  <si>
    <t>EBIT</t>
  </si>
  <si>
    <t>Non-recurring items</t>
  </si>
  <si>
    <t>Other income (expense)</t>
  </si>
  <si>
    <t>Tax expense</t>
  </si>
  <si>
    <t xml:space="preserve"> Net income</t>
  </si>
  <si>
    <t>Dividends</t>
  </si>
  <si>
    <t>Shareholder information</t>
  </si>
  <si>
    <t>Basic earnings per share</t>
  </si>
  <si>
    <t>Diluted earnings per share</t>
  </si>
  <si>
    <t>Balance sheet</t>
  </si>
  <si>
    <t>Inventories % of COGS</t>
  </si>
  <si>
    <t>Other current assets % of sales</t>
  </si>
  <si>
    <t>Other long-term assets % of sales</t>
  </si>
  <si>
    <t>Other current liabilities % of sales</t>
  </si>
  <si>
    <t>Other long-term liabilities % of sales</t>
  </si>
  <si>
    <t>Accounts receivable</t>
  </si>
  <si>
    <t>Inventories</t>
  </si>
  <si>
    <t>Other current assets</t>
  </si>
  <si>
    <t xml:space="preserve"> Total current assets</t>
  </si>
  <si>
    <t>Property, plant &amp; equipment, net</t>
  </si>
  <si>
    <t xml:space="preserve"> Total non-current assets</t>
  </si>
  <si>
    <t>TOTAL ASSETS</t>
  </si>
  <si>
    <t>Revolver/Short term debt</t>
  </si>
  <si>
    <t>Other current liabilities</t>
  </si>
  <si>
    <t xml:space="preserve"> Total current liabilities</t>
  </si>
  <si>
    <t>Other long-term liabilities</t>
  </si>
  <si>
    <t xml:space="preserve"> Total non-current liabilities</t>
  </si>
  <si>
    <t>TOTAL LIABILITIES &amp; EQUITY</t>
  </si>
  <si>
    <t>Balance check</t>
  </si>
  <si>
    <t>Cash flow statement</t>
  </si>
  <si>
    <t>Pretax Income</t>
  </si>
  <si>
    <t>Alan Chen</t>
  </si>
  <si>
    <t>Free Cash Flows</t>
  </si>
  <si>
    <t>Sales</t>
  </si>
  <si>
    <t>NOPAT</t>
  </si>
  <si>
    <t>(inc) / dec in OWC</t>
  </si>
  <si>
    <t>(Capex)</t>
  </si>
  <si>
    <t>Free Cash Flow</t>
  </si>
  <si>
    <t>Effective Tax Rate</t>
  </si>
  <si>
    <t>Risk free rate</t>
  </si>
  <si>
    <t>Market risk Premium</t>
  </si>
  <si>
    <t>Beta</t>
  </si>
  <si>
    <t>Cost of Equity</t>
  </si>
  <si>
    <t>% Equity</t>
  </si>
  <si>
    <t>% Debt</t>
  </si>
  <si>
    <t>Post tax cost of debt</t>
  </si>
  <si>
    <t>WACC</t>
  </si>
  <si>
    <t>Long Term growth rate</t>
  </si>
  <si>
    <t>Mkt Cap</t>
  </si>
  <si>
    <t>Levered beta</t>
  </si>
  <si>
    <t>Gross debt</t>
  </si>
  <si>
    <t>Market cap</t>
  </si>
  <si>
    <t>Debt/Mcap</t>
  </si>
  <si>
    <t>Unlevered beta</t>
  </si>
  <si>
    <t>Comp</t>
  </si>
  <si>
    <t>Industry beta (average)</t>
  </si>
  <si>
    <t>Re-levered beta</t>
  </si>
  <si>
    <t>MTR</t>
  </si>
  <si>
    <t>Discount Model Year count</t>
  </si>
  <si>
    <t>Value Calculation</t>
  </si>
  <si>
    <t>Total PV of FCFs</t>
  </si>
  <si>
    <t>PV of TV</t>
  </si>
  <si>
    <t>EV</t>
  </si>
  <si>
    <t>Implied EBITDA multiple</t>
  </si>
  <si>
    <t>Cash &amp; Cash Equiv</t>
  </si>
  <si>
    <t>Debt &amp; Claims</t>
  </si>
  <si>
    <t>NCI</t>
  </si>
  <si>
    <t>Equity Value</t>
  </si>
  <si>
    <t>Diluted S/O</t>
  </si>
  <si>
    <t>Implied Share Price</t>
  </si>
  <si>
    <t>*</t>
  </si>
  <si>
    <t>Income Statement</t>
  </si>
  <si>
    <t>Variance</t>
  </si>
  <si>
    <t>Pessimistic Case</t>
  </si>
  <si>
    <t>Optimistic Case</t>
  </si>
  <si>
    <t>Dividend payout ratio</t>
  </si>
  <si>
    <t>Balance Sheet - Assets</t>
  </si>
  <si>
    <t>Balance Sheet - Liabilities</t>
  </si>
  <si>
    <t>Operating Case</t>
  </si>
  <si>
    <t>Street Case</t>
  </si>
  <si>
    <t>COGS % of sales</t>
  </si>
  <si>
    <t>Depreciation % of PP&amp;E</t>
  </si>
  <si>
    <t>Amortization $ Amt</t>
  </si>
  <si>
    <t>Non recurring income / (expense)</t>
  </si>
  <si>
    <t>Interest rate on Revolver</t>
  </si>
  <si>
    <t>Other Income / (expense)</t>
  </si>
  <si>
    <t>Dividend Payout Rate</t>
  </si>
  <si>
    <t>Operating Cash % of sales</t>
  </si>
  <si>
    <t>Calcs</t>
  </si>
  <si>
    <t>CapEx % of Sales</t>
  </si>
  <si>
    <t>Share issuance / (repurchases)</t>
  </si>
  <si>
    <t>Debt</t>
  </si>
  <si>
    <t>Other income (expense), amt</t>
  </si>
  <si>
    <t>Sensitivity analysis</t>
  </si>
  <si>
    <t>Discount rate variance</t>
  </si>
  <si>
    <t>Implied growth rate variance</t>
  </si>
  <si>
    <t>Revenue Growth</t>
  </si>
  <si>
    <t>Change in OWC</t>
  </si>
  <si>
    <t>Accounts payable/Accurals</t>
  </si>
  <si>
    <t>Accounts payable/Accural % of COGS</t>
  </si>
  <si>
    <t>Accounts receivable % of sales</t>
  </si>
  <si>
    <t>Accounts payable % of COGS</t>
  </si>
  <si>
    <t>Depreciation % of beginning PP&amp;E</t>
  </si>
  <si>
    <t>Net Income</t>
  </si>
  <si>
    <t>COGS</t>
  </si>
  <si>
    <t>Operating Cash</t>
  </si>
  <si>
    <t>Excess cash</t>
  </si>
  <si>
    <t>Intangible assets</t>
  </si>
  <si>
    <t>Other assets</t>
  </si>
  <si>
    <t>Accounts payables</t>
  </si>
  <si>
    <t>(inc) / dec in other long-term assets</t>
  </si>
  <si>
    <t>inc / (dec) other long-term liabilities</t>
  </si>
  <si>
    <t>Tax Rate</t>
  </si>
  <si>
    <t xml:space="preserve"> </t>
  </si>
  <si>
    <t>Current Stock Price</t>
  </si>
  <si>
    <t>Excess Cash</t>
  </si>
  <si>
    <t>TV multiple variance</t>
  </si>
  <si>
    <t>Multiples Calculation</t>
  </si>
  <si>
    <t>Multiple TV</t>
  </si>
  <si>
    <t>DCF tables</t>
  </si>
  <si>
    <t>Diluted s/o</t>
  </si>
  <si>
    <t>Cash</t>
  </si>
  <si>
    <t>Implied Price</t>
  </si>
  <si>
    <t>Difference</t>
  </si>
  <si>
    <t>Cost of debt</t>
  </si>
  <si>
    <t>Price 10/14/25</t>
  </si>
  <si>
    <t>LTM EV/EBITDA</t>
  </si>
  <si>
    <t>Average</t>
  </si>
  <si>
    <t>Delta -&gt; Average</t>
  </si>
  <si>
    <t>Company Symbol</t>
  </si>
  <si>
    <t>Enterprise Value</t>
  </si>
  <si>
    <t>LTM P/E Ratio</t>
  </si>
  <si>
    <t xml:space="preserve">LTM EV/EBIT </t>
  </si>
  <si>
    <t>LTM EV/Sales</t>
  </si>
  <si>
    <t>Delta % Average</t>
  </si>
  <si>
    <t>Perpetuity</t>
  </si>
  <si>
    <t>Terminal Mult</t>
  </si>
  <si>
    <t>Model Details</t>
  </si>
  <si>
    <t>Current price</t>
  </si>
  <si>
    <t>Weighted Avg</t>
  </si>
  <si>
    <t>Operating Case Two</t>
  </si>
  <si>
    <t>Operating Case Three</t>
  </si>
  <si>
    <t>Operating Case One</t>
  </si>
  <si>
    <t>Comps</t>
  </si>
  <si>
    <t>Columbia Sportswear Co.</t>
  </si>
  <si>
    <t>thousands</t>
  </si>
  <si>
    <t>Dividend payout rate (per share)</t>
  </si>
  <si>
    <t>Long-term debt, including ROU assets</t>
  </si>
  <si>
    <t>REVENUES</t>
  </si>
  <si>
    <t>Apparel &amp; Equipment</t>
  </si>
  <si>
    <t>Footwear</t>
  </si>
  <si>
    <t>q/q</t>
  </si>
  <si>
    <t>y/y</t>
  </si>
  <si>
    <t>TOTAL SALES</t>
  </si>
  <si>
    <t>LAAP Sales</t>
  </si>
  <si>
    <t>NA Sales</t>
  </si>
  <si>
    <t>EMEA Sales</t>
  </si>
  <si>
    <t>Canada Sales</t>
  </si>
  <si>
    <t>Q124</t>
  </si>
  <si>
    <t>Q224</t>
  </si>
  <si>
    <t>Q324</t>
  </si>
  <si>
    <t>Q424</t>
  </si>
  <si>
    <t>Q125</t>
  </si>
  <si>
    <t>Q225</t>
  </si>
  <si>
    <t>Q325</t>
  </si>
  <si>
    <t>Q425</t>
  </si>
  <si>
    <t>NO REVOLVER</t>
  </si>
  <si>
    <t>+</t>
  </si>
  <si>
    <t>(Inc) / dec in OWC</t>
  </si>
  <si>
    <t>(inc) / dec in LT assets</t>
  </si>
  <si>
    <t>inc / (dec) in LT liabilities</t>
  </si>
  <si>
    <t>Cash Flow from Operations</t>
  </si>
  <si>
    <t>Cash Flow from Investing</t>
  </si>
  <si>
    <t>Issuance / (repayment) of LT debt</t>
  </si>
  <si>
    <t>Cash flow from Financing</t>
  </si>
  <si>
    <t>Net changes in cash</t>
  </si>
  <si>
    <t>Beginning cash</t>
  </si>
  <si>
    <t>Changes</t>
  </si>
  <si>
    <t>Ending cash</t>
  </si>
  <si>
    <t>ROU, no interest</t>
  </si>
  <si>
    <t>n/a</t>
  </si>
  <si>
    <t>NKE</t>
  </si>
  <si>
    <t>LULU</t>
  </si>
  <si>
    <t>DECK</t>
  </si>
  <si>
    <t>VFC</t>
  </si>
  <si>
    <t>debt is calculated in millions*</t>
  </si>
  <si>
    <t>Lululemon Athletica inc.</t>
  </si>
  <si>
    <t>Nike</t>
  </si>
  <si>
    <t>UAA</t>
  </si>
  <si>
    <t>Deckers Outdoor Corp.</t>
  </si>
  <si>
    <t>VF Corp.</t>
  </si>
  <si>
    <t>Under Armour Inc.</t>
  </si>
  <si>
    <t>COLM</t>
  </si>
  <si>
    <t>Implied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</si>
</sst>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#,##0.0_);\(#,##0.0\);0.0_);@_)"/>
    <numFmt numFmtId="167" formatCode="#,##0.0_);\(#,##0.0\)"/>
    <numFmt numFmtId="168" formatCode="dd\-mmm\-yy_)"/>
    <numFmt numFmtId="169" formatCode="0.0%_);\(0.0%\)"/>
    <numFmt numFmtId="170" formatCode="#,##0.00_)\x;\(#,##0.00\)\x"/>
    <numFmt numFmtId="171" formatCode="&quot;Yes&quot;;;&quot;No&quot;"/>
    <numFmt numFmtId="172" formatCode="0.00%_);\(0.00%\)"/>
    <numFmt numFmtId="173" formatCode="0.0%"/>
    <numFmt numFmtId="174" formatCode="#,##0.00_);\(#,##0.00\);0.00_);@_)"/>
    <numFmt numFmtId="175" formatCode="yyyy"/>
    <numFmt numFmtId="176" formatCode="#,##0.0_)\x;\(#,##0.0\)\x"/>
    <numFmt numFmtId="177" formatCode="0.0_);\(0.0\)"/>
    <numFmt numFmtId="178" formatCode="0_);\(0\)"/>
    <numFmt numFmtId="179" formatCode="#,##0.0"/>
    <numFmt numFmtId="180" formatCode="&quot;$&quot;#,##0.0_);\(&quot;$&quot;#,##0.0\)"/>
    <numFmt numFmtId="181" formatCode="#,##0.0_)"/>
    <numFmt numFmtId="182" formatCode="&quot;$&quot;#,##0.0"/>
    <numFmt numFmtId="183" formatCode="[$$-409]#,##0.00_);\([$$-409]#,##0.00\)"/>
    <numFmt numFmtId="184" formatCode="&quot;$&quot;#,##0.00"/>
    <numFmt numFmtId="187" formatCode="0.0"/>
  </numFmts>
  <fonts count="7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24"/>
      <color rgb="FF006100"/>
      <name val="Arial"/>
      <family val="2"/>
    </font>
    <font>
      <sz val="24"/>
      <color rgb="FF9C0006"/>
      <name val="Arial"/>
      <family val="2"/>
    </font>
    <font>
      <sz val="24"/>
      <color rgb="FF9C6500"/>
      <name val="Arial"/>
      <family val="2"/>
    </font>
    <font>
      <b/>
      <sz val="24"/>
      <color rgb="FF3F3F3F"/>
      <name val="Arial"/>
      <family val="2"/>
    </font>
    <font>
      <b/>
      <sz val="24"/>
      <color rgb="FFFA7D00"/>
      <name val="Arial"/>
      <family val="2"/>
    </font>
    <font>
      <sz val="24"/>
      <color rgb="FFFA7D00"/>
      <name val="Arial"/>
      <family val="2"/>
    </font>
    <font>
      <b/>
      <sz val="24"/>
      <color theme="0"/>
      <name val="Arial"/>
      <family val="2"/>
    </font>
    <font>
      <sz val="24"/>
      <color rgb="FFFF0000"/>
      <name val="Arial"/>
      <family val="2"/>
    </font>
    <font>
      <i/>
      <sz val="24"/>
      <color rgb="FF7F7F7F"/>
      <name val="Arial"/>
      <family val="2"/>
    </font>
    <font>
      <b/>
      <sz val="24"/>
      <color theme="1"/>
      <name val="Arial"/>
      <family val="2"/>
    </font>
    <font>
      <sz val="24"/>
      <color theme="0"/>
      <name val="Arial"/>
      <family val="2"/>
    </font>
    <font>
      <sz val="24"/>
      <color theme="1"/>
      <name val="Arial"/>
      <family val="2"/>
    </font>
    <font>
      <u/>
      <sz val="10"/>
      <color theme="11"/>
      <name val="Arial"/>
      <family val="2"/>
    </font>
    <font>
      <b/>
      <sz val="14"/>
      <color theme="0"/>
      <name val="Calibri"/>
      <family val="2"/>
    </font>
    <font>
      <b/>
      <sz val="11"/>
      <color theme="2"/>
      <name val="Calibri"/>
      <family val="2"/>
      <scheme val="minor"/>
    </font>
    <font>
      <sz val="10"/>
      <color rgb="FF0000FF"/>
      <name val="Arial"/>
      <family val="2"/>
    </font>
    <font>
      <b/>
      <sz val="14"/>
      <color rgb="FF0000FF"/>
      <name val="Calibri"/>
      <family val="2"/>
    </font>
    <font>
      <i/>
      <sz val="10"/>
      <name val="Arial"/>
      <family val="2"/>
    </font>
    <font>
      <sz val="7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27D07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27D07"/>
      <name val="Calibri"/>
      <family val="2"/>
      <scheme val="minor"/>
    </font>
    <font>
      <sz val="11"/>
      <color rgb="FF4472C4"/>
      <name val="Calibri"/>
      <family val="2"/>
      <scheme val="minor"/>
    </font>
    <font>
      <i/>
      <sz val="11"/>
      <color indexed="10"/>
      <name val="Calibri"/>
      <family val="2"/>
      <scheme val="minor"/>
    </font>
    <font>
      <i/>
      <sz val="10"/>
      <color theme="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sz val="11"/>
      <color rgb="FF0500FF"/>
      <name val="Calibri"/>
      <family val="2"/>
      <scheme val="minor"/>
    </font>
    <font>
      <i/>
      <sz val="10"/>
      <color rgb="FF0000FF"/>
      <name val="Arial"/>
      <family val="2"/>
    </font>
    <font>
      <i/>
      <sz val="10"/>
      <color rgb="FF0500FF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1"/>
      <color rgb="FF0000FF"/>
      <name val="Calibri"/>
      <family val="2"/>
      <scheme val="minor"/>
    </font>
    <font>
      <b/>
      <sz val="15"/>
      <color rgb="FF027D07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rgb="FFEA4335"/>
      <name val="Calibri"/>
      <family val="2"/>
      <scheme val="minor"/>
    </font>
    <font>
      <b/>
      <sz val="1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rgb="FF34A85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8">
    <xf numFmtId="167" fontId="0" fillId="0" borderId="0"/>
    <xf numFmtId="15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7" fontId="28" fillId="33" borderId="1" applyNumberFormat="0" applyAlignment="0" applyProtection="0"/>
    <xf numFmtId="169" fontId="5" fillId="0" borderId="0" applyFont="0" applyFill="0" applyBorder="0" applyAlignment="0" applyProtection="0"/>
    <xf numFmtId="167" fontId="28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5" borderId="6" applyNumberFormat="0" applyAlignment="0" applyProtection="0"/>
    <xf numFmtId="0" fontId="18" fillId="0" borderId="7" applyNumberFormat="0" applyFill="0" applyAlignment="0" applyProtection="0"/>
    <xf numFmtId="0" fontId="19" fillId="6" borderId="8" applyNumberFormat="0" applyAlignment="0" applyProtection="0"/>
    <xf numFmtId="0" fontId="20" fillId="0" borderId="0" applyNumberFormat="0" applyFill="0" applyBorder="0" applyAlignment="0" applyProtection="0"/>
    <xf numFmtId="0" fontId="5" fillId="7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3" fillId="31" borderId="0" applyNumberFormat="0" applyBorder="0" applyAlignment="0" applyProtection="0"/>
    <xf numFmtId="166" fontId="2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9" fillId="0" borderId="11" applyNumberFormat="0" applyFill="0" applyAlignment="0" applyProtection="0"/>
    <xf numFmtId="167" fontId="26" fillId="32" borderId="0" applyNumberFormat="0" applyBorder="0" applyProtection="0">
      <alignment horizontal="left" vertical="center"/>
    </xf>
    <xf numFmtId="167" fontId="27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69" fontId="28" fillId="33" borderId="1" applyAlignment="0" applyProtection="0"/>
    <xf numFmtId="166" fontId="6" fillId="0" borderId="0" applyNumberFormat="0" applyFill="0" applyBorder="0" applyAlignment="0" applyProtection="0"/>
    <xf numFmtId="166" fontId="6" fillId="0" borderId="0" applyNumberFormat="0" applyFill="0" applyBorder="0" applyAlignment="0" applyProtection="0"/>
    <xf numFmtId="166" fontId="5" fillId="0" borderId="0">
      <protection locked="0"/>
    </xf>
    <xf numFmtId="166" fontId="31" fillId="0" borderId="0" applyNumberFormat="0" applyFill="0" applyBorder="0" applyProtection="0">
      <alignment vertical="center"/>
      <protection hidden="1"/>
    </xf>
    <xf numFmtId="0" fontId="32" fillId="0" borderId="0"/>
    <xf numFmtId="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/>
    <xf numFmtId="167" fontId="42" fillId="32" borderId="0" applyNumberFormat="0" applyBorder="0" applyAlignment="0" applyProtection="0">
      <alignment horizontal="left" vertical="center"/>
    </xf>
    <xf numFmtId="0" fontId="63" fillId="41" borderId="0"/>
    <xf numFmtId="0" fontId="64" fillId="41" borderId="22">
      <alignment horizontal="right"/>
    </xf>
  </cellStyleXfs>
  <cellXfs count="393">
    <xf numFmtId="167" fontId="0" fillId="0" borderId="0" xfId="0"/>
    <xf numFmtId="166" fontId="43" fillId="0" borderId="0" xfId="52" applyNumberFormat="1" applyFont="1" applyFill="1" applyBorder="1" applyAlignment="1">
      <alignment horizontal="center"/>
    </xf>
    <xf numFmtId="167" fontId="43" fillId="0" borderId="0" xfId="0" applyFont="1"/>
    <xf numFmtId="166" fontId="43" fillId="0" borderId="0" xfId="52" applyNumberFormat="1" applyFont="1" applyFill="1" applyBorder="1"/>
    <xf numFmtId="167" fontId="39" fillId="0" borderId="0" xfId="0" applyFont="1"/>
    <xf numFmtId="169" fontId="39" fillId="0" borderId="0" xfId="4" applyFont="1"/>
    <xf numFmtId="167" fontId="44" fillId="0" borderId="0" xfId="0" applyFont="1"/>
    <xf numFmtId="167" fontId="41" fillId="0" borderId="0" xfId="0" applyFont="1"/>
    <xf numFmtId="173" fontId="39" fillId="0" borderId="0" xfId="0" applyNumberFormat="1" applyFont="1"/>
    <xf numFmtId="166" fontId="38" fillId="0" borderId="0" xfId="57" applyFont="1" applyFill="1"/>
    <xf numFmtId="166" fontId="38" fillId="0" borderId="0" xfId="57" applyFont="1"/>
    <xf numFmtId="167" fontId="45" fillId="0" borderId="0" xfId="0" applyFont="1"/>
    <xf numFmtId="173" fontId="45" fillId="0" borderId="0" xfId="0" applyNumberFormat="1" applyFont="1"/>
    <xf numFmtId="167" fontId="38" fillId="0" borderId="0" xfId="0" applyFont="1"/>
    <xf numFmtId="172" fontId="39" fillId="0" borderId="0" xfId="0" applyNumberFormat="1" applyFont="1"/>
    <xf numFmtId="174" fontId="39" fillId="0" borderId="0" xfId="0" applyNumberFormat="1" applyFont="1"/>
    <xf numFmtId="167" fontId="39" fillId="35" borderId="0" xfId="0" applyFont="1" applyFill="1"/>
    <xf numFmtId="166" fontId="33" fillId="35" borderId="0" xfId="54" applyNumberFormat="1" applyFont="1" applyFill="1"/>
    <xf numFmtId="167" fontId="45" fillId="0" borderId="12" xfId="0" applyFont="1" applyBorder="1"/>
    <xf numFmtId="167" fontId="45" fillId="0" borderId="13" xfId="0" applyFont="1" applyBorder="1"/>
    <xf numFmtId="167" fontId="45" fillId="0" borderId="14" xfId="0" applyFont="1" applyBorder="1"/>
    <xf numFmtId="167" fontId="39" fillId="34" borderId="0" xfId="0" applyFont="1" applyFill="1"/>
    <xf numFmtId="166" fontId="33" fillId="34" borderId="0" xfId="54" applyNumberFormat="1" applyFont="1" applyFill="1"/>
    <xf numFmtId="167" fontId="39" fillId="0" borderId="13" xfId="0" applyFont="1" applyBorder="1"/>
    <xf numFmtId="166" fontId="38" fillId="0" borderId="18" xfId="57" applyFont="1" applyBorder="1"/>
    <xf numFmtId="169" fontId="39" fillId="0" borderId="18" xfId="4" applyFont="1" applyBorder="1"/>
    <xf numFmtId="167" fontId="45" fillId="0" borderId="18" xfId="0" applyFont="1" applyBorder="1"/>
    <xf numFmtId="166" fontId="38" fillId="0" borderId="18" xfId="58" applyFont="1" applyBorder="1"/>
    <xf numFmtId="173" fontId="39" fillId="0" borderId="18" xfId="0" applyNumberFormat="1" applyFont="1" applyBorder="1"/>
    <xf numFmtId="167" fontId="39" fillId="0" borderId="18" xfId="0" applyFont="1" applyBorder="1"/>
    <xf numFmtId="169" fontId="39" fillId="0" borderId="18" xfId="4" applyFont="1" applyFill="1" applyBorder="1"/>
    <xf numFmtId="173" fontId="30" fillId="0" borderId="0" xfId="0" applyNumberFormat="1" applyFont="1"/>
    <xf numFmtId="167" fontId="40" fillId="0" borderId="0" xfId="0" applyFont="1"/>
    <xf numFmtId="169" fontId="40" fillId="0" borderId="0" xfId="4" applyFont="1"/>
    <xf numFmtId="167" fontId="47" fillId="0" borderId="0" xfId="0" applyFont="1"/>
    <xf numFmtId="167" fontId="45" fillId="0" borderId="15" xfId="0" applyFont="1" applyBorder="1"/>
    <xf numFmtId="167" fontId="45" fillId="0" borderId="16" xfId="0" applyFont="1" applyBorder="1"/>
    <xf numFmtId="173" fontId="39" fillId="0" borderId="16" xfId="0" applyNumberFormat="1" applyFont="1" applyBorder="1"/>
    <xf numFmtId="167" fontId="39" fillId="0" borderId="16" xfId="0" applyFont="1" applyBorder="1"/>
    <xf numFmtId="174" fontId="39" fillId="0" borderId="15" xfId="0" applyNumberFormat="1" applyFont="1" applyBorder="1"/>
    <xf numFmtId="167" fontId="40" fillId="0" borderId="18" xfId="0" applyFont="1" applyBorder="1"/>
    <xf numFmtId="173" fontId="30" fillId="0" borderId="18" xfId="0" applyNumberFormat="1" applyFont="1" applyBorder="1"/>
    <xf numFmtId="166" fontId="34" fillId="0" borderId="0" xfId="52" applyNumberFormat="1" applyFont="1" applyFill="1" applyBorder="1" applyAlignment="1">
      <alignment horizontal="right"/>
    </xf>
    <xf numFmtId="167" fontId="35" fillId="34" borderId="0" xfId="0" applyFont="1" applyFill="1"/>
    <xf numFmtId="173" fontId="40" fillId="0" borderId="0" xfId="0" applyNumberFormat="1" applyFont="1"/>
    <xf numFmtId="173" fontId="40" fillId="0" borderId="18" xfId="0" applyNumberFormat="1" applyFont="1" applyBorder="1"/>
    <xf numFmtId="166" fontId="38" fillId="0" borderId="18" xfId="57" applyFont="1" applyFill="1" applyBorder="1"/>
    <xf numFmtId="167" fontId="45" fillId="0" borderId="0" xfId="0" applyFont="1" applyAlignment="1">
      <alignment horizontal="right"/>
    </xf>
    <xf numFmtId="10" fontId="39" fillId="0" borderId="0" xfId="0" applyNumberFormat="1" applyFont="1"/>
    <xf numFmtId="172" fontId="39" fillId="0" borderId="0" xfId="4" applyNumberFormat="1" applyFont="1"/>
    <xf numFmtId="167" fontId="48" fillId="0" borderId="0" xfId="0" applyFont="1"/>
    <xf numFmtId="37" fontId="43" fillId="0" borderId="0" xfId="0" applyNumberFormat="1" applyFont="1" applyAlignment="1">
      <alignment horizontal="center"/>
    </xf>
    <xf numFmtId="167" fontId="37" fillId="33" borderId="1" xfId="3" applyFont="1" applyAlignment="1">
      <alignment horizontal="center"/>
    </xf>
    <xf numFmtId="168" fontId="37" fillId="33" borderId="1" xfId="3" applyNumberFormat="1" applyFont="1" applyAlignment="1">
      <alignment horizontal="center"/>
    </xf>
    <xf numFmtId="166" fontId="34" fillId="0" borderId="0" xfId="52" applyNumberFormat="1" applyFont="1" applyFill="1" applyBorder="1" applyAlignment="1">
      <alignment horizontal="center"/>
    </xf>
    <xf numFmtId="167" fontId="49" fillId="34" borderId="0" xfId="0" applyFont="1" applyFill="1"/>
    <xf numFmtId="175" fontId="33" fillId="34" borderId="0" xfId="0" applyNumberFormat="1" applyFont="1" applyFill="1"/>
    <xf numFmtId="169" fontId="46" fillId="0" borderId="0" xfId="57" applyNumberFormat="1" applyFont="1" applyFill="1" applyBorder="1"/>
    <xf numFmtId="169" fontId="40" fillId="0" borderId="0" xfId="57" applyNumberFormat="1" applyFont="1" applyFill="1" applyBorder="1"/>
    <xf numFmtId="166" fontId="40" fillId="0" borderId="0" xfId="0" applyNumberFormat="1" applyFont="1"/>
    <xf numFmtId="167" fontId="39" fillId="0" borderId="17" xfId="0" applyFont="1" applyBorder="1"/>
    <xf numFmtId="169" fontId="46" fillId="0" borderId="18" xfId="57" applyNumberFormat="1" applyFont="1" applyFill="1" applyBorder="1"/>
    <xf numFmtId="169" fontId="40" fillId="0" borderId="18" xfId="57" applyNumberFormat="1" applyFont="1" applyFill="1" applyBorder="1"/>
    <xf numFmtId="166" fontId="40" fillId="0" borderId="18" xfId="0" applyNumberFormat="1" applyFont="1" applyBorder="1"/>
    <xf numFmtId="167" fontId="39" fillId="0" borderId="18" xfId="0" applyFont="1" applyBorder="1" applyAlignment="1">
      <alignment horizontal="right"/>
    </xf>
    <xf numFmtId="167" fontId="35" fillId="35" borderId="0" xfId="0" applyFont="1" applyFill="1"/>
    <xf numFmtId="167" fontId="33" fillId="35" borderId="0" xfId="53" applyFont="1" applyFill="1">
      <alignment horizontal="left" vertical="center"/>
    </xf>
    <xf numFmtId="167" fontId="39" fillId="0" borderId="15" xfId="0" applyFont="1" applyBorder="1"/>
    <xf numFmtId="167" fontId="39" fillId="36" borderId="0" xfId="0" applyFont="1" applyFill="1"/>
    <xf numFmtId="167" fontId="39" fillId="37" borderId="15" xfId="0" applyFont="1" applyFill="1" applyBorder="1"/>
    <xf numFmtId="167" fontId="39" fillId="37" borderId="0" xfId="0" applyFont="1" applyFill="1"/>
    <xf numFmtId="167" fontId="39" fillId="38" borderId="15" xfId="0" applyFont="1" applyFill="1" applyBorder="1"/>
    <xf numFmtId="167" fontId="39" fillId="38" borderId="0" xfId="0" applyFont="1" applyFill="1"/>
    <xf numFmtId="167" fontId="39" fillId="36" borderId="18" xfId="0" applyFont="1" applyFill="1" applyBorder="1"/>
    <xf numFmtId="167" fontId="39" fillId="37" borderId="16" xfId="0" applyFont="1" applyFill="1" applyBorder="1"/>
    <xf numFmtId="167" fontId="39" fillId="37" borderId="18" xfId="0" applyFont="1" applyFill="1" applyBorder="1"/>
    <xf numFmtId="167" fontId="39" fillId="38" borderId="16" xfId="0" applyFont="1" applyFill="1" applyBorder="1"/>
    <xf numFmtId="167" fontId="39" fillId="38" borderId="18" xfId="0" applyFont="1" applyFill="1" applyBorder="1"/>
    <xf numFmtId="167" fontId="33" fillId="34" borderId="0" xfId="0" applyFont="1" applyFill="1"/>
    <xf numFmtId="167" fontId="39" fillId="0" borderId="20" xfId="0" applyFont="1" applyBorder="1"/>
    <xf numFmtId="167" fontId="39" fillId="0" borderId="1" xfId="0" applyFont="1" applyBorder="1"/>
    <xf numFmtId="167" fontId="39" fillId="39" borderId="19" xfId="0" applyFont="1" applyFill="1" applyBorder="1"/>
    <xf numFmtId="167" fontId="39" fillId="39" borderId="16" xfId="0" applyFont="1" applyFill="1" applyBorder="1"/>
    <xf numFmtId="167" fontId="39" fillId="39" borderId="1" xfId="0" applyFont="1" applyFill="1" applyBorder="1"/>
    <xf numFmtId="167" fontId="39" fillId="39" borderId="14" xfId="0" applyFont="1" applyFill="1" applyBorder="1"/>
    <xf numFmtId="167" fontId="44" fillId="0" borderId="15" xfId="0" applyFont="1" applyBorder="1"/>
    <xf numFmtId="176" fontId="39" fillId="0" borderId="0" xfId="0" applyNumberFormat="1" applyFont="1"/>
    <xf numFmtId="167" fontId="35" fillId="0" borderId="0" xfId="0" applyFont="1"/>
    <xf numFmtId="166" fontId="33" fillId="0" borderId="0" xfId="54" applyNumberFormat="1" applyFont="1" applyFill="1"/>
    <xf numFmtId="166" fontId="51" fillId="0" borderId="0" xfId="54" applyNumberFormat="1" applyFont="1" applyProtection="1"/>
    <xf numFmtId="173" fontId="5" fillId="0" borderId="0" xfId="0" applyNumberFormat="1" applyFont="1"/>
    <xf numFmtId="167" fontId="52" fillId="0" borderId="0" xfId="0" applyFont="1"/>
    <xf numFmtId="167" fontId="5" fillId="0" borderId="0" xfId="0" applyFont="1"/>
    <xf numFmtId="167" fontId="5" fillId="0" borderId="0" xfId="0" applyFont="1" applyProtection="1">
      <protection locked="0"/>
    </xf>
    <xf numFmtId="169" fontId="5" fillId="0" borderId="0" xfId="4" applyFont="1"/>
    <xf numFmtId="166" fontId="54" fillId="0" borderId="0" xfId="54" applyNumberFormat="1" applyFont="1" applyProtection="1"/>
    <xf numFmtId="169" fontId="28" fillId="0" borderId="0" xfId="3" applyNumberFormat="1" applyFill="1" applyBorder="1"/>
    <xf numFmtId="167" fontId="55" fillId="0" borderId="0" xfId="0" applyFont="1"/>
    <xf numFmtId="167" fontId="55" fillId="0" borderId="18" xfId="0" applyFont="1" applyBorder="1"/>
    <xf numFmtId="167" fontId="37" fillId="0" borderId="0" xfId="0" applyFont="1"/>
    <xf numFmtId="167" fontId="37" fillId="0" borderId="18" xfId="0" applyFont="1" applyBorder="1"/>
    <xf numFmtId="169" fontId="39" fillId="0" borderId="0" xfId="4" applyFont="1" applyFill="1"/>
    <xf numFmtId="169" fontId="56" fillId="33" borderId="1" xfId="3" applyNumberFormat="1" applyFont="1"/>
    <xf numFmtId="167" fontId="56" fillId="33" borderId="1" xfId="3" applyNumberFormat="1" applyFont="1"/>
    <xf numFmtId="169" fontId="56" fillId="33" borderId="14" xfId="3" applyNumberFormat="1" applyFont="1" applyBorder="1"/>
    <xf numFmtId="169" fontId="56" fillId="0" borderId="15" xfId="3" applyNumberFormat="1" applyFont="1" applyFill="1" applyBorder="1"/>
    <xf numFmtId="173" fontId="30" fillId="36" borderId="14" xfId="0" applyNumberFormat="1" applyFont="1" applyFill="1" applyBorder="1"/>
    <xf numFmtId="177" fontId="56" fillId="33" borderId="1" xfId="3" applyNumberFormat="1" applyFont="1"/>
    <xf numFmtId="167" fontId="33" fillId="35" borderId="0" xfId="0" applyFont="1" applyFill="1"/>
    <xf numFmtId="175" fontId="33" fillId="35" borderId="0" xfId="0" applyNumberFormat="1" applyFont="1" applyFill="1"/>
    <xf numFmtId="166" fontId="34" fillId="0" borderId="15" xfId="52" applyNumberFormat="1" applyFont="1" applyFill="1" applyBorder="1" applyAlignment="1">
      <alignment horizontal="center"/>
    </xf>
    <xf numFmtId="167" fontId="40" fillId="0" borderId="13" xfId="0" applyFont="1" applyBorder="1"/>
    <xf numFmtId="167" fontId="50" fillId="0" borderId="13" xfId="0" applyFont="1" applyBorder="1"/>
    <xf numFmtId="173" fontId="30" fillId="40" borderId="1" xfId="0" applyNumberFormat="1" applyFont="1" applyFill="1" applyBorder="1"/>
    <xf numFmtId="167" fontId="30" fillId="40" borderId="19" xfId="0" applyFont="1" applyFill="1" applyBorder="1"/>
    <xf numFmtId="167" fontId="53" fillId="0" borderId="0" xfId="0" applyFont="1" applyAlignment="1">
      <alignment horizontal="right"/>
    </xf>
    <xf numFmtId="175" fontId="33" fillId="35" borderId="0" xfId="0" applyNumberFormat="1" applyFont="1" applyFill="1" applyAlignment="1">
      <alignment horizontal="right"/>
    </xf>
    <xf numFmtId="167" fontId="33" fillId="34" borderId="17" xfId="0" applyFont="1" applyFill="1" applyBorder="1"/>
    <xf numFmtId="175" fontId="58" fillId="35" borderId="0" xfId="0" applyNumberFormat="1" applyFont="1" applyFill="1"/>
    <xf numFmtId="175" fontId="59" fillId="35" borderId="0" xfId="3" applyNumberFormat="1" applyFont="1" applyFill="1" applyBorder="1"/>
    <xf numFmtId="166" fontId="33" fillId="34" borderId="15" xfId="54" applyNumberFormat="1" applyFont="1" applyFill="1" applyBorder="1" applyProtection="1"/>
    <xf numFmtId="166" fontId="39" fillId="0" borderId="0" xfId="59" applyFont="1" applyProtection="1"/>
    <xf numFmtId="172" fontId="37" fillId="33" borderId="1" xfId="3" applyNumberFormat="1" applyFont="1" applyProtection="1"/>
    <xf numFmtId="166" fontId="3" fillId="0" borderId="0" xfId="54" applyNumberFormat="1" applyFont="1" applyProtection="1"/>
    <xf numFmtId="169" fontId="39" fillId="0" borderId="15" xfId="4" applyFont="1" applyBorder="1"/>
    <xf numFmtId="169" fontId="39" fillId="0" borderId="16" xfId="4" applyFont="1" applyBorder="1"/>
    <xf numFmtId="166" fontId="60" fillId="34" borderId="15" xfId="59" applyFont="1" applyFill="1" applyBorder="1" applyProtection="1"/>
    <xf numFmtId="10" fontId="40" fillId="0" borderId="0" xfId="0" applyNumberFormat="1" applyFont="1"/>
    <xf numFmtId="10" fontId="28" fillId="0" borderId="0" xfId="3" applyNumberFormat="1" applyFill="1" applyBorder="1"/>
    <xf numFmtId="166" fontId="38" fillId="0" borderId="0" xfId="57" applyFont="1" applyBorder="1"/>
    <xf numFmtId="166" fontId="38" fillId="0" borderId="0" xfId="58" applyFont="1" applyBorder="1"/>
    <xf numFmtId="167" fontId="37" fillId="0" borderId="17" xfId="0" applyFont="1" applyBorder="1"/>
    <xf numFmtId="169" fontId="56" fillId="33" borderId="19" xfId="3" applyNumberFormat="1" applyFont="1" applyBorder="1"/>
    <xf numFmtId="167" fontId="2" fillId="0" borderId="18" xfId="0" applyFont="1" applyBorder="1"/>
    <xf numFmtId="179" fontId="45" fillId="0" borderId="0" xfId="0" applyNumberFormat="1" applyFont="1"/>
    <xf numFmtId="179" fontId="45" fillId="0" borderId="12" xfId="0" applyNumberFormat="1" applyFont="1" applyBorder="1"/>
    <xf numFmtId="179" fontId="45" fillId="0" borderId="13" xfId="0" applyNumberFormat="1" applyFont="1" applyBorder="1"/>
    <xf numFmtId="179" fontId="39" fillId="0" borderId="0" xfId="0" applyNumberFormat="1" applyFont="1"/>
    <xf numFmtId="167" fontId="39" fillId="0" borderId="24" xfId="0" applyFont="1" applyBorder="1"/>
    <xf numFmtId="167" fontId="39" fillId="0" borderId="15" xfId="4" applyNumberFormat="1" applyFont="1" applyBorder="1"/>
    <xf numFmtId="179" fontId="39" fillId="0" borderId="15" xfId="4" applyNumberFormat="1" applyFont="1" applyBorder="1"/>
    <xf numFmtId="179" fontId="39" fillId="0" borderId="0" xfId="4" applyNumberFormat="1" applyFont="1"/>
    <xf numFmtId="179" fontId="39" fillId="0" borderId="0" xfId="0" applyNumberFormat="1" applyFont="1" applyAlignment="1">
      <alignment horizontal="right"/>
    </xf>
    <xf numFmtId="173" fontId="39" fillId="36" borderId="19" xfId="0" applyNumberFormat="1" applyFont="1" applyFill="1" applyBorder="1"/>
    <xf numFmtId="37" fontId="33" fillId="34" borderId="18" xfId="0" applyNumberFormat="1" applyFont="1" applyFill="1" applyBorder="1" applyAlignment="1">
      <alignment horizontal="right"/>
    </xf>
    <xf numFmtId="39" fontId="39" fillId="39" borderId="19" xfId="0" applyNumberFormat="1" applyFont="1" applyFill="1" applyBorder="1"/>
    <xf numFmtId="39" fontId="39" fillId="39" borderId="1" xfId="0" applyNumberFormat="1" applyFont="1" applyFill="1" applyBorder="1"/>
    <xf numFmtId="10" fontId="39" fillId="0" borderId="21" xfId="0" applyNumberFormat="1" applyFont="1" applyBorder="1"/>
    <xf numFmtId="39" fontId="39" fillId="0" borderId="0" xfId="0" applyNumberFormat="1" applyFont="1"/>
    <xf numFmtId="173" fontId="39" fillId="37" borderId="16" xfId="0" applyNumberFormat="1" applyFont="1" applyFill="1" applyBorder="1"/>
    <xf numFmtId="173" fontId="39" fillId="37" borderId="1" xfId="0" applyNumberFormat="1" applyFont="1" applyFill="1" applyBorder="1"/>
    <xf numFmtId="173" fontId="39" fillId="38" borderId="19" xfId="0" applyNumberFormat="1" applyFont="1" applyFill="1" applyBorder="1"/>
    <xf numFmtId="167" fontId="39" fillId="0" borderId="0" xfId="0" applyFont="1" applyAlignment="1">
      <alignment horizontal="right"/>
    </xf>
    <xf numFmtId="10" fontId="35" fillId="34" borderId="1" xfId="0" applyNumberFormat="1" applyFont="1" applyFill="1" applyBorder="1"/>
    <xf numFmtId="7" fontId="45" fillId="0" borderId="18" xfId="0" applyNumberFormat="1" applyFont="1" applyBorder="1"/>
    <xf numFmtId="172" fontId="37" fillId="33" borderId="19" xfId="3" applyNumberFormat="1" applyFont="1" applyBorder="1" applyProtection="1"/>
    <xf numFmtId="166" fontId="39" fillId="35" borderId="0" xfId="59" applyFont="1" applyFill="1" applyProtection="1"/>
    <xf numFmtId="172" fontId="37" fillId="35" borderId="0" xfId="3" applyNumberFormat="1" applyFont="1" applyFill="1" applyBorder="1" applyProtection="1"/>
    <xf numFmtId="166" fontId="33" fillId="35" borderId="0" xfId="59" applyFont="1" applyFill="1" applyProtection="1"/>
    <xf numFmtId="175" fontId="33" fillId="34" borderId="0" xfId="52" applyNumberFormat="1" applyFont="1" applyFill="1" applyBorder="1" applyAlignment="1">
      <alignment horizontal="right" vertical="center"/>
    </xf>
    <xf numFmtId="167" fontId="45" fillId="0" borderId="18" xfId="0" applyFont="1" applyBorder="1" applyAlignment="1">
      <alignment horizontal="right"/>
    </xf>
    <xf numFmtId="173" fontId="39" fillId="39" borderId="19" xfId="0" applyNumberFormat="1" applyFont="1" applyFill="1" applyBorder="1"/>
    <xf numFmtId="167" fontId="66" fillId="0" borderId="0" xfId="0" applyFont="1"/>
    <xf numFmtId="167" fontId="37" fillId="33" borderId="19" xfId="3" applyNumberFormat="1" applyFont="1" applyBorder="1" applyProtection="1"/>
    <xf numFmtId="167" fontId="39" fillId="0" borderId="21" xfId="0" applyFont="1" applyBorder="1"/>
    <xf numFmtId="167" fontId="39" fillId="35" borderId="15" xfId="0" applyFont="1" applyFill="1" applyBorder="1"/>
    <xf numFmtId="180" fontId="45" fillId="0" borderId="14" xfId="0" applyNumberFormat="1" applyFont="1" applyBorder="1"/>
    <xf numFmtId="173" fontId="35" fillId="34" borderId="1" xfId="0" applyNumberFormat="1" applyFont="1" applyFill="1" applyBorder="1"/>
    <xf numFmtId="167" fontId="33" fillId="0" borderId="0" xfId="0" applyFont="1"/>
    <xf numFmtId="167" fontId="37" fillId="33" borderId="1" xfId="3" applyNumberFormat="1" applyFont="1" applyAlignment="1">
      <alignment horizontal="center"/>
    </xf>
    <xf numFmtId="167" fontId="39" fillId="38" borderId="20" xfId="0" applyFont="1" applyFill="1" applyBorder="1"/>
    <xf numFmtId="167" fontId="33" fillId="34" borderId="20" xfId="0" applyFont="1" applyFill="1" applyBorder="1"/>
    <xf numFmtId="167" fontId="33" fillId="34" borderId="15" xfId="0" applyFont="1" applyFill="1" applyBorder="1"/>
    <xf numFmtId="167" fontId="33" fillId="34" borderId="16" xfId="0" applyFont="1" applyFill="1" applyBorder="1"/>
    <xf numFmtId="167" fontId="39" fillId="0" borderId="14" xfId="4" applyNumberFormat="1" applyFont="1" applyBorder="1"/>
    <xf numFmtId="10" fontId="35" fillId="0" borderId="0" xfId="0" applyNumberFormat="1" applyFont="1"/>
    <xf numFmtId="176" fontId="37" fillId="0" borderId="15" xfId="3" applyNumberFormat="1" applyFont="1" applyFill="1" applyBorder="1" applyProtection="1"/>
    <xf numFmtId="172" fontId="37" fillId="0" borderId="15" xfId="3" applyNumberFormat="1" applyFont="1" applyFill="1" applyBorder="1" applyProtection="1"/>
    <xf numFmtId="176" fontId="35" fillId="0" borderId="0" xfId="0" applyNumberFormat="1" applyFont="1"/>
    <xf numFmtId="167" fontId="39" fillId="0" borderId="0" xfId="0" applyFont="1" applyAlignment="1">
      <alignment horizontal="center"/>
    </xf>
    <xf numFmtId="169" fontId="56" fillId="0" borderId="0" xfId="3" applyNumberFormat="1" applyFont="1" applyFill="1" applyBorder="1"/>
    <xf numFmtId="169" fontId="39" fillId="0" borderId="0" xfId="4" applyFont="1" applyFill="1" applyBorder="1"/>
    <xf numFmtId="167" fontId="1" fillId="0" borderId="0" xfId="0" applyFont="1"/>
    <xf numFmtId="166" fontId="1" fillId="0" borderId="0" xfId="57" applyFont="1" applyBorder="1"/>
    <xf numFmtId="166" fontId="1" fillId="0" borderId="0" xfId="57" applyFont="1"/>
    <xf numFmtId="169" fontId="67" fillId="33" borderId="1" xfId="3" applyNumberFormat="1" applyFont="1"/>
    <xf numFmtId="177" fontId="67" fillId="33" borderId="1" xfId="3" applyNumberFormat="1" applyFont="1"/>
    <xf numFmtId="167" fontId="67" fillId="33" borderId="1" xfId="3" applyNumberFormat="1" applyFont="1"/>
    <xf numFmtId="37" fontId="33" fillId="34" borderId="0" xfId="52" applyNumberFormat="1" applyFont="1" applyFill="1" applyBorder="1"/>
    <xf numFmtId="166" fontId="33" fillId="34" borderId="0" xfId="52" applyNumberFormat="1" applyFont="1" applyFill="1" applyBorder="1"/>
    <xf numFmtId="174" fontId="45" fillId="0" borderId="13" xfId="0" applyNumberFormat="1" applyFont="1" applyBorder="1"/>
    <xf numFmtId="39" fontId="38" fillId="0" borderId="0" xfId="57" applyNumberFormat="1" applyFont="1" applyBorder="1"/>
    <xf numFmtId="39" fontId="38" fillId="0" borderId="18" xfId="57" applyNumberFormat="1" applyFont="1" applyBorder="1"/>
    <xf numFmtId="166" fontId="38" fillId="0" borderId="0" xfId="57" applyFont="1" applyFill="1" applyBorder="1"/>
    <xf numFmtId="0" fontId="33" fillId="34" borderId="0" xfId="52" applyNumberFormat="1" applyFont="1" applyFill="1" applyBorder="1" applyAlignment="1">
      <alignment horizontal="right" vertical="center"/>
    </xf>
    <xf numFmtId="179" fontId="39" fillId="0" borderId="0" xfId="4" applyNumberFormat="1" applyFont="1" applyBorder="1"/>
    <xf numFmtId="166" fontId="37" fillId="0" borderId="0" xfId="0" applyNumberFormat="1" applyFont="1"/>
    <xf numFmtId="166" fontId="37" fillId="0" borderId="18" xfId="0" applyNumberFormat="1" applyFont="1" applyBorder="1"/>
    <xf numFmtId="166" fontId="37" fillId="0" borderId="0" xfId="57" applyFont="1" applyFill="1"/>
    <xf numFmtId="166" fontId="37" fillId="0" borderId="18" xfId="57" applyFont="1" applyFill="1" applyBorder="1"/>
    <xf numFmtId="166" fontId="1" fillId="0" borderId="0" xfId="57" applyFont="1" applyFill="1"/>
    <xf numFmtId="9" fontId="39" fillId="0" borderId="0" xfId="0" applyNumberFormat="1" applyFont="1"/>
    <xf numFmtId="9" fontId="30" fillId="0" borderId="18" xfId="0" applyNumberFormat="1" applyFont="1" applyBorder="1"/>
    <xf numFmtId="169" fontId="40" fillId="0" borderId="0" xfId="4" applyFont="1" applyBorder="1"/>
    <xf numFmtId="3" fontId="39" fillId="0" borderId="0" xfId="0" applyNumberFormat="1" applyFont="1"/>
    <xf numFmtId="3" fontId="39" fillId="0" borderId="15" xfId="0" applyNumberFormat="1" applyFont="1" applyBorder="1"/>
    <xf numFmtId="178" fontId="33" fillId="34" borderId="0" xfId="0" applyNumberFormat="1" applyFont="1" applyFill="1"/>
    <xf numFmtId="175" fontId="33" fillId="0" borderId="0" xfId="52" applyNumberFormat="1" applyFont="1" applyFill="1" applyBorder="1" applyAlignment="1">
      <alignment horizontal="right" vertical="center"/>
    </xf>
    <xf numFmtId="167" fontId="45" fillId="35" borderId="0" xfId="0" applyFont="1" applyFill="1"/>
    <xf numFmtId="175" fontId="33" fillId="0" borderId="0" xfId="0" applyNumberFormat="1" applyFont="1"/>
    <xf numFmtId="167" fontId="56" fillId="0" borderId="0" xfId="3" applyNumberFormat="1" applyFont="1" applyFill="1" applyBorder="1"/>
    <xf numFmtId="175" fontId="59" fillId="0" borderId="0" xfId="3" applyNumberFormat="1" applyFont="1" applyFill="1" applyBorder="1"/>
    <xf numFmtId="0" fontId="59" fillId="0" borderId="0" xfId="3" applyNumberFormat="1" applyFont="1" applyFill="1" applyBorder="1"/>
    <xf numFmtId="177" fontId="56" fillId="0" borderId="0" xfId="3" applyNumberFormat="1" applyFont="1" applyFill="1" applyBorder="1"/>
    <xf numFmtId="173" fontId="56" fillId="0" borderId="0" xfId="0" applyNumberFormat="1" applyFont="1"/>
    <xf numFmtId="167" fontId="57" fillId="0" borderId="0" xfId="0" applyFont="1"/>
    <xf numFmtId="173" fontId="56" fillId="40" borderId="1" xfId="0" applyNumberFormat="1" applyFont="1" applyFill="1" applyBorder="1"/>
    <xf numFmtId="0" fontId="33" fillId="0" borderId="0" xfId="0" applyNumberFormat="1" applyFont="1"/>
    <xf numFmtId="167" fontId="50" fillId="0" borderId="0" xfId="0" applyFont="1"/>
    <xf numFmtId="167" fontId="30" fillId="0" borderId="0" xfId="0" applyFont="1"/>
    <xf numFmtId="0" fontId="33" fillId="0" borderId="0" xfId="52" applyNumberFormat="1" applyFont="1" applyFill="1" applyBorder="1" applyAlignment="1">
      <alignment horizontal="right" vertical="center"/>
    </xf>
    <xf numFmtId="167" fontId="30" fillId="40" borderId="1" xfId="0" applyFont="1" applyFill="1" applyBorder="1"/>
    <xf numFmtId="166" fontId="1" fillId="0" borderId="0" xfId="57" applyFont="1" applyFill="1" applyBorder="1"/>
    <xf numFmtId="169" fontId="67" fillId="0" borderId="0" xfId="3" applyNumberFormat="1" applyFont="1" applyFill="1" applyBorder="1"/>
    <xf numFmtId="177" fontId="67" fillId="0" borderId="0" xfId="3" applyNumberFormat="1" applyFont="1" applyFill="1" applyBorder="1"/>
    <xf numFmtId="167" fontId="67" fillId="0" borderId="0" xfId="3" applyNumberFormat="1" applyFont="1" applyFill="1" applyBorder="1"/>
    <xf numFmtId="173" fontId="67" fillId="0" borderId="0" xfId="3" applyNumberFormat="1" applyFont="1" applyFill="1" applyBorder="1"/>
    <xf numFmtId="174" fontId="45" fillId="0" borderId="0" xfId="0" applyNumberFormat="1" applyFont="1"/>
    <xf numFmtId="0" fontId="33" fillId="0" borderId="0" xfId="0" applyNumberFormat="1" applyFont="1" applyAlignment="1">
      <alignment horizontal="right"/>
    </xf>
    <xf numFmtId="179" fontId="39" fillId="0" borderId="0" xfId="4" applyNumberFormat="1" applyFont="1" applyFill="1" applyBorder="1"/>
    <xf numFmtId="167" fontId="39" fillId="0" borderId="0" xfId="4" applyNumberFormat="1" applyFont="1" applyFill="1" applyBorder="1"/>
    <xf numFmtId="166" fontId="60" fillId="0" borderId="0" xfId="59" applyFont="1" applyProtection="1"/>
    <xf numFmtId="179" fontId="37" fillId="0" borderId="18" xfId="0" applyNumberFormat="1" applyFont="1" applyBorder="1"/>
    <xf numFmtId="166" fontId="1" fillId="0" borderId="17" xfId="57" applyFont="1" applyFill="1" applyBorder="1"/>
    <xf numFmtId="39" fontId="39" fillId="0" borderId="1" xfId="0" applyNumberFormat="1" applyFont="1" applyBorder="1"/>
    <xf numFmtId="2" fontId="39" fillId="36" borderId="19" xfId="0" applyNumberFormat="1" applyFont="1" applyFill="1" applyBorder="1"/>
    <xf numFmtId="176" fontId="39" fillId="0" borderId="15" xfId="0" applyNumberFormat="1" applyFont="1" applyBorder="1"/>
    <xf numFmtId="167" fontId="39" fillId="42" borderId="15" xfId="0" applyFont="1" applyFill="1" applyBorder="1"/>
    <xf numFmtId="167" fontId="39" fillId="0" borderId="15" xfId="0" applyFont="1" applyBorder="1" applyAlignment="1">
      <alignment horizontal="right"/>
    </xf>
    <xf numFmtId="181" fontId="39" fillId="0" borderId="15" xfId="0" applyNumberFormat="1" applyFont="1" applyBorder="1"/>
    <xf numFmtId="0" fontId="33" fillId="35" borderId="0" xfId="66" applyFont="1" applyFill="1" applyAlignment="1">
      <alignment horizontal="center" wrapText="1"/>
    </xf>
    <xf numFmtId="0" fontId="33" fillId="35" borderId="0" xfId="66" applyFont="1" applyFill="1" applyAlignment="1">
      <alignment horizontal="center"/>
    </xf>
    <xf numFmtId="167" fontId="33" fillId="35" borderId="0" xfId="0" applyFont="1" applyFill="1" applyAlignment="1">
      <alignment horizontal="center" wrapText="1"/>
    </xf>
    <xf numFmtId="182" fontId="39" fillId="0" borderId="0" xfId="0" applyNumberFormat="1" applyFont="1"/>
    <xf numFmtId="182" fontId="39" fillId="42" borderId="15" xfId="0" applyNumberFormat="1" applyFont="1" applyFill="1" applyBorder="1"/>
    <xf numFmtId="182" fontId="39" fillId="0" borderId="15" xfId="0" applyNumberFormat="1" applyFont="1" applyBorder="1"/>
    <xf numFmtId="3" fontId="39" fillId="42" borderId="15" xfId="0" applyNumberFormat="1" applyFont="1" applyFill="1" applyBorder="1"/>
    <xf numFmtId="173" fontId="39" fillId="42" borderId="15" xfId="0" applyNumberFormat="1" applyFont="1" applyFill="1" applyBorder="1"/>
    <xf numFmtId="176" fontId="39" fillId="0" borderId="18" xfId="0" applyNumberFormat="1" applyFont="1" applyBorder="1"/>
    <xf numFmtId="176" fontId="39" fillId="0" borderId="17" xfId="0" applyNumberFormat="1" applyFont="1" applyBorder="1"/>
    <xf numFmtId="176" fontId="39" fillId="0" borderId="24" xfId="0" applyNumberFormat="1" applyFont="1" applyBorder="1"/>
    <xf numFmtId="176" fontId="45" fillId="42" borderId="15" xfId="0" applyNumberFormat="1" applyFont="1" applyFill="1" applyBorder="1"/>
    <xf numFmtId="176" fontId="45" fillId="42" borderId="14" xfId="0" applyNumberFormat="1" applyFont="1" applyFill="1" applyBorder="1"/>
    <xf numFmtId="173" fontId="39" fillId="0" borderId="15" xfId="0" applyNumberFormat="1" applyFont="1" applyBorder="1"/>
    <xf numFmtId="173" fontId="45" fillId="43" borderId="1" xfId="0" applyNumberFormat="1" applyFont="1" applyFill="1" applyBorder="1"/>
    <xf numFmtId="10" fontId="39" fillId="0" borderId="0" xfId="4" applyNumberFormat="1" applyFont="1" applyFill="1" applyBorder="1" applyAlignment="1" applyProtection="1">
      <alignment horizontal="right"/>
    </xf>
    <xf numFmtId="183" fontId="37" fillId="33" borderId="1" xfId="3" applyNumberFormat="1" applyFont="1" applyAlignment="1">
      <alignment horizontal="center"/>
    </xf>
    <xf numFmtId="167" fontId="33" fillId="0" borderId="0" xfId="53" applyFont="1" applyFill="1">
      <alignment horizontal="left" vertical="center"/>
    </xf>
    <xf numFmtId="10" fontId="68" fillId="33" borderId="1" xfId="3" applyNumberFormat="1" applyFont="1" applyAlignment="1">
      <alignment horizontal="center"/>
    </xf>
    <xf numFmtId="176" fontId="39" fillId="0" borderId="0" xfId="0" applyNumberFormat="1" applyFont="1" applyAlignment="1">
      <alignment horizontal="center"/>
    </xf>
    <xf numFmtId="10" fontId="39" fillId="0" borderId="0" xfId="0" applyNumberFormat="1" applyFont="1" applyAlignment="1">
      <alignment horizontal="center"/>
    </xf>
    <xf numFmtId="5" fontId="39" fillId="0" borderId="0" xfId="0" applyNumberFormat="1" applyFont="1" applyAlignment="1">
      <alignment horizontal="center"/>
    </xf>
    <xf numFmtId="173" fontId="39" fillId="0" borderId="0" xfId="0" applyNumberFormat="1" applyFont="1" applyAlignment="1">
      <alignment horizontal="center"/>
    </xf>
    <xf numFmtId="184" fontId="65" fillId="33" borderId="14" xfId="3" applyNumberFormat="1" applyFont="1" applyBorder="1" applyAlignment="1">
      <alignment horizontal="center"/>
    </xf>
    <xf numFmtId="10" fontId="68" fillId="33" borderId="14" xfId="3" applyNumberFormat="1" applyFont="1" applyBorder="1" applyAlignment="1">
      <alignment horizontal="center"/>
    </xf>
    <xf numFmtId="184" fontId="65" fillId="33" borderId="1" xfId="3" applyNumberFormat="1" applyFont="1" applyAlignment="1">
      <alignment horizontal="center"/>
    </xf>
    <xf numFmtId="1" fontId="28" fillId="0" borderId="0" xfId="0" applyNumberFormat="1" applyFont="1"/>
    <xf numFmtId="166" fontId="5" fillId="0" borderId="0" xfId="0" applyNumberFormat="1" applyFont="1" applyAlignment="1">
      <alignment horizontal="right"/>
    </xf>
    <xf numFmtId="173" fontId="28" fillId="0" borderId="0" xfId="0" applyNumberFormat="1" applyFont="1"/>
    <xf numFmtId="175" fontId="5" fillId="0" borderId="0" xfId="0" applyNumberFormat="1" applyFont="1"/>
    <xf numFmtId="169" fontId="37" fillId="0" borderId="0" xfId="0" applyNumberFormat="1" applyFont="1"/>
    <xf numFmtId="1" fontId="33" fillId="34" borderId="0" xfId="0" applyNumberFormat="1" applyFont="1" applyFill="1"/>
    <xf numFmtId="169" fontId="39" fillId="0" borderId="0" xfId="4" applyFont="1" applyBorder="1"/>
    <xf numFmtId="167" fontId="39" fillId="0" borderId="0" xfId="4" applyNumberFormat="1" applyFont="1" applyBorder="1"/>
    <xf numFmtId="166" fontId="39" fillId="0" borderId="0" xfId="59" applyFont="1" applyAlignment="1" applyProtection="1">
      <alignment horizontal="centerContinuous"/>
    </xf>
    <xf numFmtId="166" fontId="39" fillId="0" borderId="0" xfId="59" applyFont="1" applyAlignment="1" applyProtection="1">
      <alignment horizontal="center"/>
    </xf>
    <xf numFmtId="10" fontId="33" fillId="0" borderId="0" xfId="0" applyNumberFormat="1" applyFont="1"/>
    <xf numFmtId="10" fontId="39" fillId="0" borderId="0" xfId="59" applyNumberFormat="1" applyFont="1" applyAlignment="1" applyProtection="1">
      <alignment horizontal="center"/>
    </xf>
    <xf numFmtId="10" fontId="39" fillId="0" borderId="0" xfId="59" applyNumberFormat="1" applyFont="1" applyProtection="1"/>
    <xf numFmtId="179" fontId="39" fillId="0" borderId="0" xfId="59" applyNumberFormat="1" applyFont="1" applyAlignment="1" applyProtection="1">
      <alignment horizontal="right"/>
    </xf>
    <xf numFmtId="176" fontId="39" fillId="0" borderId="0" xfId="59" applyNumberFormat="1" applyFont="1" applyAlignment="1" applyProtection="1">
      <alignment horizontal="right"/>
    </xf>
    <xf numFmtId="167" fontId="35" fillId="0" borderId="0" xfId="0" applyFont="1" applyAlignment="1">
      <alignment horizontal="center"/>
    </xf>
    <xf numFmtId="10" fontId="35" fillId="0" borderId="0" xfId="0" applyNumberFormat="1" applyFont="1" applyAlignment="1">
      <alignment horizontal="center"/>
    </xf>
    <xf numFmtId="176" fontId="35" fillId="0" borderId="0" xfId="59" applyNumberFormat="1" applyFont="1" applyAlignment="1" applyProtection="1">
      <alignment horizontal="right"/>
    </xf>
    <xf numFmtId="10" fontId="39" fillId="0" borderId="0" xfId="59" applyNumberFormat="1" applyFont="1" applyAlignment="1" applyProtection="1">
      <alignment horizontal="right"/>
    </xf>
    <xf numFmtId="172" fontId="39" fillId="0" borderId="0" xfId="59" applyNumberFormat="1" applyFont="1" applyProtection="1"/>
    <xf numFmtId="40" fontId="39" fillId="0" borderId="0" xfId="59" applyNumberFormat="1" applyFont="1" applyProtection="1"/>
    <xf numFmtId="40" fontId="45" fillId="0" borderId="0" xfId="59" applyNumberFormat="1" applyFont="1" applyProtection="1"/>
    <xf numFmtId="176" fontId="35" fillId="0" borderId="0" xfId="0" applyNumberFormat="1" applyFont="1" applyAlignment="1">
      <alignment horizontal="center"/>
    </xf>
    <xf numFmtId="180" fontId="35" fillId="0" borderId="0" xfId="0" applyNumberFormat="1" applyFont="1"/>
    <xf numFmtId="5" fontId="39" fillId="0" borderId="0" xfId="0" applyNumberFormat="1" applyFont="1"/>
    <xf numFmtId="181" fontId="39" fillId="0" borderId="0" xfId="0" applyNumberFormat="1" applyFont="1"/>
    <xf numFmtId="182" fontId="45" fillId="0" borderId="0" xfId="0" applyNumberFormat="1" applyFont="1"/>
    <xf numFmtId="3" fontId="45" fillId="0" borderId="0" xfId="0" applyNumberFormat="1" applyFont="1"/>
    <xf numFmtId="176" fontId="45" fillId="0" borderId="0" xfId="0" applyNumberFormat="1" applyFont="1" applyAlignment="1">
      <alignment horizontal="right"/>
    </xf>
    <xf numFmtId="37" fontId="39" fillId="0" borderId="0" xfId="0" applyNumberFormat="1" applyFont="1"/>
    <xf numFmtId="180" fontId="39" fillId="0" borderId="0" xfId="0" applyNumberFormat="1" applyFont="1"/>
    <xf numFmtId="1" fontId="33" fillId="34" borderId="0" xfId="52" applyNumberFormat="1" applyFont="1" applyFill="1" applyBorder="1" applyAlignment="1">
      <alignment horizontal="right" vertical="center"/>
    </xf>
    <xf numFmtId="175" fontId="33" fillId="35" borderId="0" xfId="4" applyNumberFormat="1" applyFont="1" applyFill="1"/>
    <xf numFmtId="167" fontId="69" fillId="0" borderId="0" xfId="0" applyFont="1"/>
    <xf numFmtId="167" fontId="57" fillId="40" borderId="1" xfId="0" applyFont="1" applyFill="1" applyBorder="1"/>
    <xf numFmtId="169" fontId="56" fillId="33" borderId="16" xfId="3" applyNumberFormat="1" applyFont="1" applyBorder="1"/>
    <xf numFmtId="167" fontId="39" fillId="36" borderId="23" xfId="0" applyFont="1" applyFill="1" applyBorder="1"/>
    <xf numFmtId="173" fontId="39" fillId="36" borderId="1" xfId="0" applyNumberFormat="1" applyFont="1" applyFill="1" applyBorder="1"/>
    <xf numFmtId="178" fontId="28" fillId="33" borderId="1" xfId="3" applyNumberFormat="1"/>
    <xf numFmtId="175" fontId="58" fillId="0" borderId="0" xfId="0" applyNumberFormat="1" applyFont="1"/>
    <xf numFmtId="166" fontId="33" fillId="34" borderId="0" xfId="54" applyNumberFormat="1" applyFont="1" applyFill="1" applyBorder="1"/>
    <xf numFmtId="167" fontId="39" fillId="0" borderId="0" xfId="0" applyFont="1" applyFill="1"/>
    <xf numFmtId="175" fontId="33" fillId="0" borderId="0" xfId="0" applyNumberFormat="1" applyFont="1" applyFill="1" applyBorder="1"/>
    <xf numFmtId="173" fontId="5" fillId="0" borderId="0" xfId="0" applyNumberFormat="1" applyFont="1" applyFill="1" applyBorder="1"/>
    <xf numFmtId="167" fontId="39" fillId="0" borderId="0" xfId="0" applyFont="1" applyFill="1" applyBorder="1"/>
    <xf numFmtId="173" fontId="30" fillId="0" borderId="0" xfId="0" applyNumberFormat="1" applyFont="1" applyFill="1" applyBorder="1"/>
    <xf numFmtId="167" fontId="40" fillId="0" borderId="0" xfId="0" applyFont="1" applyFill="1" applyBorder="1"/>
    <xf numFmtId="169" fontId="56" fillId="33" borderId="1" xfId="3" applyNumberFormat="1" applyFont="1" applyBorder="1"/>
    <xf numFmtId="173" fontId="30" fillId="36" borderId="1" xfId="0" applyNumberFormat="1" applyFont="1" applyFill="1" applyBorder="1"/>
    <xf numFmtId="167" fontId="56" fillId="33" borderId="1" xfId="3" applyNumberFormat="1" applyFont="1" applyBorder="1"/>
    <xf numFmtId="177" fontId="56" fillId="33" borderId="1" xfId="3" applyNumberFormat="1" applyFont="1" applyBorder="1"/>
    <xf numFmtId="167" fontId="40" fillId="0" borderId="0" xfId="0" applyFont="1" applyBorder="1"/>
    <xf numFmtId="1" fontId="33" fillId="0" borderId="0" xfId="52" applyNumberFormat="1" applyFont="1" applyFill="1" applyBorder="1" applyAlignment="1">
      <alignment horizontal="right" vertical="center"/>
    </xf>
    <xf numFmtId="167" fontId="45" fillId="0" borderId="0" xfId="0" applyFont="1" applyFill="1"/>
    <xf numFmtId="173" fontId="56" fillId="0" borderId="0" xfId="0" applyNumberFormat="1" applyFont="1" applyFill="1" applyBorder="1"/>
    <xf numFmtId="1" fontId="33" fillId="0" borderId="0" xfId="0" applyNumberFormat="1" applyFont="1" applyFill="1" applyBorder="1"/>
    <xf numFmtId="167" fontId="57" fillId="0" borderId="0" xfId="0" applyFont="1" applyFill="1" applyBorder="1"/>
    <xf numFmtId="179" fontId="37" fillId="0" borderId="0" xfId="0" applyNumberFormat="1" applyFont="1" applyFill="1" applyBorder="1"/>
    <xf numFmtId="167" fontId="37" fillId="0" borderId="0" xfId="0" applyFont="1" applyFill="1" applyBorder="1"/>
    <xf numFmtId="167" fontId="45" fillId="0" borderId="0" xfId="0" applyFont="1" applyFill="1" applyBorder="1"/>
    <xf numFmtId="0" fontId="33" fillId="0" borderId="0" xfId="0" applyNumberFormat="1" applyFont="1" applyFill="1" applyBorder="1"/>
    <xf numFmtId="167" fontId="50" fillId="0" borderId="0" xfId="0" applyFont="1" applyFill="1" applyBorder="1"/>
    <xf numFmtId="167" fontId="30" fillId="0" borderId="0" xfId="0" applyFont="1" applyFill="1" applyBorder="1"/>
    <xf numFmtId="173" fontId="39" fillId="0" borderId="0" xfId="0" applyNumberFormat="1" applyFont="1" applyFill="1" applyBorder="1"/>
    <xf numFmtId="179" fontId="45" fillId="0" borderId="0" xfId="0" applyNumberFormat="1" applyFont="1" applyFill="1" applyBorder="1"/>
    <xf numFmtId="172" fontId="39" fillId="0" borderId="0" xfId="0" applyNumberFormat="1" applyFont="1" applyFill="1" applyBorder="1"/>
    <xf numFmtId="174" fontId="45" fillId="0" borderId="0" xfId="0" applyNumberFormat="1" applyFont="1" applyFill="1" applyBorder="1"/>
    <xf numFmtId="174" fontId="45" fillId="0" borderId="14" xfId="0" applyNumberFormat="1" applyFont="1" applyBorder="1"/>
    <xf numFmtId="179" fontId="45" fillId="0" borderId="14" xfId="0" applyNumberFormat="1" applyFont="1" applyBorder="1"/>
    <xf numFmtId="169" fontId="67" fillId="33" borderId="1" xfId="3" applyNumberFormat="1" applyFont="1" applyBorder="1"/>
    <xf numFmtId="177" fontId="67" fillId="33" borderId="1" xfId="3" applyNumberFormat="1" applyFont="1" applyBorder="1"/>
    <xf numFmtId="167" fontId="67" fillId="33" borderId="1" xfId="3" applyNumberFormat="1" applyFont="1" applyBorder="1"/>
    <xf numFmtId="0" fontId="33" fillId="0" borderId="0" xfId="0" applyNumberFormat="1" applyFont="1" applyFill="1" applyBorder="1" applyAlignment="1">
      <alignment horizontal="right"/>
    </xf>
    <xf numFmtId="167" fontId="44" fillId="0" borderId="0" xfId="0" applyFont="1" applyFill="1" applyBorder="1"/>
    <xf numFmtId="179" fontId="39" fillId="0" borderId="0" xfId="0" applyNumberFormat="1" applyFont="1" applyFill="1" applyBorder="1"/>
    <xf numFmtId="167" fontId="45" fillId="0" borderId="0" xfId="0" applyFont="1" applyFill="1" applyBorder="1" applyAlignment="1">
      <alignment horizontal="right"/>
    </xf>
    <xf numFmtId="173" fontId="40" fillId="0" borderId="0" xfId="0" applyNumberFormat="1" applyFont="1" applyFill="1" applyBorder="1"/>
    <xf numFmtId="179" fontId="39" fillId="0" borderId="0" xfId="0" applyNumberFormat="1" applyFont="1" applyFill="1" applyBorder="1" applyAlignment="1">
      <alignment horizontal="right"/>
    </xf>
    <xf numFmtId="167" fontId="33" fillId="0" borderId="0" xfId="0" applyFont="1" applyFill="1"/>
    <xf numFmtId="166" fontId="37" fillId="0" borderId="0" xfId="0" applyNumberFormat="1" applyFont="1" applyBorder="1"/>
    <xf numFmtId="179" fontId="38" fillId="0" borderId="15" xfId="57" applyNumberFormat="1" applyFont="1" applyBorder="1"/>
    <xf numFmtId="179" fontId="38" fillId="0" borderId="16" xfId="57" applyNumberFormat="1" applyFont="1" applyBorder="1"/>
    <xf numFmtId="173" fontId="40" fillId="0" borderId="0" xfId="0" applyNumberFormat="1" applyFont="1" applyBorder="1"/>
    <xf numFmtId="187" fontId="39" fillId="0" borderId="0" xfId="0" applyNumberFormat="1" applyFont="1"/>
    <xf numFmtId="173" fontId="39" fillId="0" borderId="0" xfId="0" applyNumberFormat="1" applyFont="1" applyBorder="1"/>
    <xf numFmtId="179" fontId="56" fillId="33" borderId="1" xfId="3" applyNumberFormat="1" applyFont="1"/>
    <xf numFmtId="179" fontId="56" fillId="33" borderId="1" xfId="3" applyNumberFormat="1" applyFont="1" applyBorder="1"/>
    <xf numFmtId="169" fontId="56" fillId="44" borderId="1" xfId="3" applyNumberFormat="1" applyFont="1" applyFill="1"/>
    <xf numFmtId="167" fontId="33" fillId="35" borderId="0" xfId="0" applyFont="1" applyFill="1" applyAlignment="1">
      <alignment horizontal="right"/>
    </xf>
    <xf numFmtId="178" fontId="33" fillId="35" borderId="0" xfId="0" applyNumberFormat="1" applyFont="1" applyFill="1" applyAlignment="1">
      <alignment horizontal="right"/>
    </xf>
    <xf numFmtId="37" fontId="45" fillId="0" borderId="0" xfId="0" applyNumberFormat="1" applyFont="1"/>
    <xf numFmtId="37" fontId="39" fillId="0" borderId="18" xfId="0" applyNumberFormat="1" applyFont="1" applyBorder="1"/>
    <xf numFmtId="37" fontId="45" fillId="0" borderId="18" xfId="0" applyNumberFormat="1" applyFont="1" applyBorder="1"/>
    <xf numFmtId="3" fontId="39" fillId="0" borderId="16" xfId="0" applyNumberFormat="1" applyFont="1" applyBorder="1"/>
    <xf numFmtId="3" fontId="39" fillId="0" borderId="18" xfId="0" applyNumberFormat="1" applyFont="1" applyBorder="1"/>
    <xf numFmtId="167" fontId="39" fillId="0" borderId="0" xfId="0" applyFont="1" applyBorder="1"/>
    <xf numFmtId="37" fontId="39" fillId="0" borderId="0" xfId="0" applyNumberFormat="1" applyFont="1" applyBorder="1"/>
    <xf numFmtId="3" fontId="39" fillId="0" borderId="0" xfId="0" applyNumberFormat="1" applyFont="1" applyBorder="1"/>
    <xf numFmtId="37" fontId="39" fillId="0" borderId="21" xfId="0" applyNumberFormat="1" applyFont="1" applyBorder="1"/>
    <xf numFmtId="37" fontId="45" fillId="0" borderId="21" xfId="0" applyNumberFormat="1" applyFont="1" applyBorder="1"/>
    <xf numFmtId="3" fontId="39" fillId="0" borderId="21" xfId="0" applyNumberFormat="1" applyFont="1" applyBorder="1"/>
    <xf numFmtId="3" fontId="39" fillId="0" borderId="19" xfId="0" applyNumberFormat="1" applyFont="1" applyBorder="1"/>
    <xf numFmtId="37" fontId="39" fillId="0" borderId="23" xfId="0" applyNumberFormat="1" applyFont="1" applyBorder="1"/>
    <xf numFmtId="167" fontId="39" fillId="0" borderId="23" xfId="0" applyFont="1" applyBorder="1"/>
    <xf numFmtId="37" fontId="45" fillId="0" borderId="23" xfId="0" applyNumberFormat="1" applyFont="1" applyBorder="1"/>
    <xf numFmtId="37" fontId="45" fillId="0" borderId="0" xfId="0" applyNumberFormat="1" applyFont="1" applyBorder="1"/>
    <xf numFmtId="9" fontId="39" fillId="0" borderId="18" xfId="0" applyNumberFormat="1" applyFont="1" applyBorder="1"/>
    <xf numFmtId="9" fontId="39" fillId="0" borderId="21" xfId="0" applyNumberFormat="1" applyFont="1" applyBorder="1"/>
    <xf numFmtId="9" fontId="39" fillId="0" borderId="23" xfId="0" applyNumberFormat="1" applyFont="1" applyBorder="1"/>
    <xf numFmtId="9" fontId="39" fillId="0" borderId="0" xfId="0" applyNumberFormat="1" applyFont="1" applyBorder="1"/>
    <xf numFmtId="9" fontId="37" fillId="44" borderId="0" xfId="0" applyNumberFormat="1" applyFont="1" applyFill="1"/>
    <xf numFmtId="9" fontId="37" fillId="44" borderId="23" xfId="0" applyNumberFormat="1" applyFont="1" applyFill="1" applyBorder="1"/>
    <xf numFmtId="9" fontId="37" fillId="44" borderId="0" xfId="0" applyNumberFormat="1" applyFont="1" applyFill="1" applyBorder="1"/>
    <xf numFmtId="9" fontId="37" fillId="44" borderId="18" xfId="0" applyNumberFormat="1" applyFont="1" applyFill="1" applyBorder="1"/>
    <xf numFmtId="169" fontId="40" fillId="0" borderId="0" xfId="3" applyNumberFormat="1" applyFont="1" applyFill="1" applyBorder="1"/>
    <xf numFmtId="169" fontId="40" fillId="0" borderId="18" xfId="3" applyNumberFormat="1" applyFont="1" applyFill="1" applyBorder="1"/>
    <xf numFmtId="166" fontId="38" fillId="45" borderId="0" xfId="57" applyFont="1" applyFill="1"/>
    <xf numFmtId="39" fontId="39" fillId="0" borderId="0" xfId="57" applyNumberFormat="1" applyFont="1" applyBorder="1"/>
    <xf numFmtId="179" fontId="39" fillId="0" borderId="0" xfId="0" applyNumberFormat="1" applyFont="1" applyBorder="1"/>
    <xf numFmtId="167" fontId="39" fillId="0" borderId="0" xfId="0" applyFont="1" applyAlignment="1"/>
    <xf numFmtId="7" fontId="45" fillId="0" borderId="14" xfId="0" applyNumberFormat="1" applyFont="1" applyBorder="1"/>
    <xf numFmtId="10" fontId="72" fillId="33" borderId="14" xfId="3" applyNumberFormat="1" applyFont="1" applyBorder="1" applyAlignment="1">
      <alignment horizontal="center"/>
    </xf>
    <xf numFmtId="167" fontId="45" fillId="0" borderId="0" xfId="0" applyNumberFormat="1" applyFont="1"/>
    <xf numFmtId="167" fontId="45" fillId="0" borderId="18" xfId="0" applyNumberFormat="1" applyFont="1" applyBorder="1"/>
    <xf numFmtId="182" fontId="39" fillId="0" borderId="18" xfId="0" applyNumberFormat="1" applyFont="1" applyBorder="1"/>
    <xf numFmtId="187" fontId="39" fillId="0" borderId="19" xfId="0" applyNumberFormat="1" applyFont="1" applyBorder="1"/>
    <xf numFmtId="182" fontId="45" fillId="0" borderId="1" xfId="0" applyNumberFormat="1" applyFont="1" applyBorder="1"/>
  </cellXfs>
  <cellStyles count="68">
    <cellStyle name="20% - Accent1" xfId="23" builtinId="30" hidden="1"/>
    <cellStyle name="20% - Accent2" xfId="27" builtinId="34" hidden="1"/>
    <cellStyle name="20% - Accent3" xfId="31" builtinId="38" hidden="1"/>
    <cellStyle name="20% - Accent4" xfId="35" builtinId="42" hidden="1"/>
    <cellStyle name="20% - Accent5" xfId="39" builtinId="46" hidden="1"/>
    <cellStyle name="20% - Accent6" xfId="43" builtinId="50" hidden="1"/>
    <cellStyle name="40% - Accent1" xfId="24" builtinId="31" hidden="1"/>
    <cellStyle name="40% - Accent2" xfId="28" builtinId="35" hidden="1"/>
    <cellStyle name="40% - Accent3" xfId="32" builtinId="39" hidden="1"/>
    <cellStyle name="40% - Accent4" xfId="36" builtinId="43" hidden="1"/>
    <cellStyle name="40% - Accent5" xfId="40" builtinId="47" hidden="1"/>
    <cellStyle name="40% - Accent6" xfId="44" builtinId="51" hidden="1"/>
    <cellStyle name="60% - Accent1" xfId="25" builtinId="32" hidden="1"/>
    <cellStyle name="60% - Accent2" xfId="29" builtinId="36" hidden="1"/>
    <cellStyle name="60% - Accent3" xfId="33" builtinId="40" hidden="1"/>
    <cellStyle name="60% - Accent4" xfId="37" builtinId="44" hidden="1"/>
    <cellStyle name="60% - Accent5" xfId="41" builtinId="48" hidden="1"/>
    <cellStyle name="60% - Accent6" xfId="45" builtinId="52" hidden="1"/>
    <cellStyle name="Accent1" xfId="22" builtinId="29" hidden="1"/>
    <cellStyle name="Accent2" xfId="26" builtinId="33" hidden="1"/>
    <cellStyle name="Accent3" xfId="30" builtinId="37" hidden="1"/>
    <cellStyle name="Accent4" xfId="34" builtinId="41" hidden="1"/>
    <cellStyle name="Accent5" xfId="38" builtinId="45" hidden="1"/>
    <cellStyle name="Accent6" xfId="42" builtinId="49" hidden="1"/>
    <cellStyle name="Bad" xfId="12" builtinId="27" hidden="1"/>
    <cellStyle name="blp_column_header" xfId="66" xr:uid="{AF54CA06-E9C5-47E9-94D2-0FADAEF0B6B2}"/>
    <cellStyle name="Blue" xfId="57" xr:uid="{00000000-0005-0000-0000-000019000000}"/>
    <cellStyle name="Blue 2" xfId="58" xr:uid="{00000000-0005-0000-0000-00001A000000}"/>
    <cellStyle name="Calculation" xfId="15" builtinId="22" hidden="1"/>
    <cellStyle name="Check Cell" xfId="17" builtinId="23" hidden="1"/>
    <cellStyle name="Comma" xfId="47" builtinId="3" hidden="1"/>
    <cellStyle name="Comma [0]" xfId="48" builtinId="6" hidden="1"/>
    <cellStyle name="Currency" xfId="49" builtinId="4" hidden="1"/>
    <cellStyle name="Currency [0]" xfId="50" builtinId="7" hidden="1"/>
    <cellStyle name="Date" xfId="1" xr:uid="{00000000-0005-0000-0000-000021000000}"/>
    <cellStyle name="Explanatory Text" xfId="20" builtinId="53" hidden="1"/>
    <cellStyle name="fa_column_header_bottom" xfId="67" xr:uid="{B37CB0A4-C947-4ACB-B9B9-C19627451DA0}"/>
    <cellStyle name="Followed Hyperlink" xfId="46" builtinId="9" hidden="1"/>
    <cellStyle name="Good" xfId="11" builtinId="26" hidden="1"/>
    <cellStyle name="Header" xfId="52" xr:uid="{00000000-0005-0000-0000-000025000000}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Historics" xfId="5" xr:uid="{00000000-0005-0000-0000-00002A000000}"/>
    <cellStyle name="Hyperlink" xfId="2" builtinId="8" hidden="1"/>
    <cellStyle name="Hyperlink 2" xfId="63" xr:uid="{57AD9CC5-9338-4D16-BF1A-884F881EA8CD}"/>
    <cellStyle name="Input" xfId="3" builtinId="20" customBuiltin="1"/>
    <cellStyle name="Input %" xfId="56" xr:uid="{00000000-0005-0000-0000-00002D000000}"/>
    <cellStyle name="Linked Cell" xfId="16" builtinId="24" hidden="1"/>
    <cellStyle name="Multiple" xfId="51" xr:uid="{00000000-0005-0000-0000-00002F000000}"/>
    <cellStyle name="Neutral" xfId="13" builtinId="28" hidden="1"/>
    <cellStyle name="Normal" xfId="0" builtinId="0" customBuiltin="1"/>
    <cellStyle name="Normal 2" xfId="59" xr:uid="{0A8E609E-3410-4D42-B3E5-0CEDA3329063}"/>
    <cellStyle name="Normal 2 2" xfId="64" xr:uid="{9D99E413-20CC-4F11-AA53-24332CDFCBF4}"/>
    <cellStyle name="Normal 3" xfId="61" xr:uid="{31E45258-C707-4FFF-AD35-8231101EDEE0}"/>
    <cellStyle name="Note" xfId="19" builtinId="10" hidden="1"/>
    <cellStyle name="Output" xfId="14" builtinId="21" hidden="1"/>
    <cellStyle name="Percent" xfId="4" builtinId="5" customBuiltin="1"/>
    <cellStyle name="Percent 2" xfId="62" xr:uid="{2050E5B5-C816-466F-AB53-D85F6FC7433A}"/>
    <cellStyle name="SubHeader" xfId="53" xr:uid="{00000000-0005-0000-0000-000035000000}"/>
    <cellStyle name="SubHeader2" xfId="54" xr:uid="{00000000-0005-0000-0000-000036000000}"/>
    <cellStyle name="SubHeader3" xfId="65" xr:uid="{E3F0A91E-F702-431E-964C-140D77ADB2F2}"/>
    <cellStyle name="Title" xfId="6" builtinId="15" hidden="1"/>
    <cellStyle name="Total" xfId="21" builtinId="25" hidden="1"/>
    <cellStyle name="Warning Text" xfId="18" builtinId="11" hidden="1"/>
    <cellStyle name="xGuides" xfId="60" xr:uid="{84689593-CF67-4082-A4B0-622C31D0642E}"/>
    <cellStyle name="YesNo" xfId="55" xr:uid="{00000000-0005-0000-0000-00003A000000}"/>
  </cellStyles>
  <dxfs count="7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E00"/>
      <rgbColor rgb="00000080"/>
      <rgbColor rgb="00808000"/>
      <rgbColor rgb="00800080"/>
      <rgbColor rgb="00008080"/>
      <rgbColor rgb="00C0C0C0"/>
      <rgbColor rgb="00808080"/>
      <rgbColor rgb="00EAFFDF"/>
      <rgbColor rgb="00993366"/>
      <rgbColor rgb="00FFFFCB"/>
      <rgbColor rgb="00E3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4A853"/>
      <color rgb="FFB4DE86"/>
      <color rgb="FF0000FF"/>
      <color rgb="FF44546A"/>
      <color rgb="FFEA4335"/>
      <color rgb="FF5F6368"/>
      <color rgb="FF4472C4"/>
      <color rgb="FFFBBC05"/>
      <color rgb="FFFF8585"/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and\Downloads\Lululemon%20DCF%20model%20solution%20std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S"/>
      <sheetName val="Inputs"/>
      <sheetName val="Model"/>
      <sheetName val="DCF"/>
      <sheetName val="Presentation sheet"/>
    </sheetNames>
    <sheetDataSet>
      <sheetData sheetId="0" refreshError="1"/>
      <sheetData sheetId="1" refreshError="1"/>
      <sheetData sheetId="2" refreshError="1"/>
      <sheetData sheetId="3">
        <row r="98">
          <cell r="E98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MT Training">
      <a:dk1>
        <a:srgbClr val="000000"/>
      </a:dk1>
      <a:lt1>
        <a:sysClr val="window" lastClr="FFFFFF"/>
      </a:lt1>
      <a:dk2>
        <a:srgbClr val="46484C"/>
      </a:dk2>
      <a:lt2>
        <a:srgbClr val="65686D"/>
      </a:lt2>
      <a:accent1>
        <a:srgbClr val="AFD7FF"/>
      </a:accent1>
      <a:accent2>
        <a:srgbClr val="007BEA"/>
      </a:accent2>
      <a:accent3>
        <a:srgbClr val="64E8C8"/>
      </a:accent3>
      <a:accent4>
        <a:srgbClr val="6DB9FF"/>
      </a:accent4>
      <a:accent5>
        <a:srgbClr val="C5D2D5"/>
      </a:accent5>
      <a:accent6>
        <a:srgbClr val="FFFFA0"/>
      </a:accent6>
      <a:hlink>
        <a:srgbClr val="00B050"/>
      </a:hlink>
      <a:folHlink>
        <a:srgbClr val="D2001E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21" sqref="F21"/>
    </sheetView>
  </sheetViews>
  <sheetFormatPr defaultColWidth="9.140625" defaultRowHeight="15" x14ac:dyDescent="0.25"/>
  <cols>
    <col min="1" max="1" width="4.28515625" style="4" bestFit="1" customWidth="1"/>
    <col min="2" max="2" width="22.85546875" style="4" customWidth="1"/>
    <col min="3" max="3" width="23.5703125" style="4" bestFit="1" customWidth="1"/>
    <col min="4" max="4" width="17.42578125" style="4" customWidth="1"/>
    <col min="5" max="5" width="18.7109375" style="4" customWidth="1"/>
    <col min="6" max="6" width="16.42578125" style="4" customWidth="1"/>
    <col min="7" max="7" width="13.42578125" style="4" customWidth="1"/>
    <col min="8" max="8" width="17.42578125" style="4" bestFit="1" customWidth="1"/>
    <col min="9" max="9" width="13.42578125" style="4" customWidth="1"/>
    <col min="10" max="10" width="16.28515625" style="4" customWidth="1"/>
    <col min="11" max="11" width="17.42578125" style="4" bestFit="1" customWidth="1"/>
    <col min="12" max="14" width="13.42578125" style="4" customWidth="1"/>
    <col min="15" max="15" width="13.140625" style="4" customWidth="1"/>
    <col min="16" max="16" width="12.7109375" style="4" customWidth="1"/>
    <col min="17" max="17" width="13.140625" style="4" customWidth="1"/>
    <col min="18" max="16384" width="9.140625" style="4"/>
  </cols>
  <sheetData>
    <row r="1" spans="1:15" s="50" customFormat="1" ht="19.5" x14ac:dyDescent="0.3">
      <c r="A1" s="299" t="str">
        <f>CoName</f>
        <v>Columbia Sportswear Co.</v>
      </c>
      <c r="B1" s="2"/>
      <c r="C1" s="2"/>
      <c r="D1" s="16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s="16" customFormat="1" x14ac:dyDescent="0.25">
      <c r="A2" s="66" t="s">
        <v>191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4" spans="1:15" x14ac:dyDescent="0.25">
      <c r="B4" s="4" t="s">
        <v>3</v>
      </c>
      <c r="C4" s="52" t="s">
        <v>198</v>
      </c>
      <c r="E4" s="4" t="s">
        <v>168</v>
      </c>
      <c r="F4" s="256">
        <v>52.72</v>
      </c>
    </row>
    <row r="5" spans="1:15" x14ac:dyDescent="0.25">
      <c r="B5" s="4" t="s">
        <v>4</v>
      </c>
      <c r="C5" s="53">
        <v>247.43</v>
      </c>
      <c r="E5" s="4" t="s">
        <v>174</v>
      </c>
      <c r="F5" s="169">
        <v>54770.067000000003</v>
      </c>
    </row>
    <row r="6" spans="1:15" x14ac:dyDescent="0.25">
      <c r="B6" s="4" t="s">
        <v>5</v>
      </c>
      <c r="C6" s="52" t="s">
        <v>8</v>
      </c>
      <c r="E6" s="4" t="s">
        <v>102</v>
      </c>
      <c r="F6" s="169">
        <f>F5*F4</f>
        <v>2887477.93224</v>
      </c>
    </row>
    <row r="7" spans="1:15" x14ac:dyDescent="0.25">
      <c r="B7" s="4" t="s">
        <v>6</v>
      </c>
      <c r="C7" s="52" t="s">
        <v>199</v>
      </c>
      <c r="E7" s="4" t="s">
        <v>175</v>
      </c>
      <c r="F7" s="52">
        <f>427804+151223</f>
        <v>579027</v>
      </c>
    </row>
    <row r="8" spans="1:15" x14ac:dyDescent="0.25">
      <c r="B8" s="4" t="s">
        <v>2</v>
      </c>
      <c r="C8" s="52" t="s">
        <v>85</v>
      </c>
      <c r="E8" s="4" t="s">
        <v>145</v>
      </c>
      <c r="F8" s="52">
        <f>78463+402726</f>
        <v>481189</v>
      </c>
    </row>
    <row r="9" spans="1:15" x14ac:dyDescent="0.25">
      <c r="B9" s="4" t="s">
        <v>7</v>
      </c>
      <c r="C9" s="52">
        <v>0</v>
      </c>
      <c r="E9" s="4" t="s">
        <v>116</v>
      </c>
      <c r="F9" s="52">
        <f>F6-F7+F8</f>
        <v>2789639.93224</v>
      </c>
    </row>
    <row r="11" spans="1:15" x14ac:dyDescent="0.25">
      <c r="B11" s="11" t="s">
        <v>196</v>
      </c>
      <c r="C11" s="179" t="s">
        <v>190</v>
      </c>
      <c r="D11" s="179" t="s">
        <v>189</v>
      </c>
      <c r="E11" s="179" t="s">
        <v>197</v>
      </c>
      <c r="F11" s="179" t="s">
        <v>193</v>
      </c>
    </row>
    <row r="12" spans="1:15" x14ac:dyDescent="0.25">
      <c r="B12" s="4" t="s">
        <v>176</v>
      </c>
      <c r="C12" s="265">
        <v>58.24</v>
      </c>
      <c r="D12" s="263">
        <v>39.9</v>
      </c>
      <c r="E12" s="263">
        <v>93.4</v>
      </c>
      <c r="F12" s="263">
        <f>AVERAGE(C12:E12)</f>
        <v>63.846666666666671</v>
      </c>
    </row>
    <row r="13" spans="1:15" x14ac:dyDescent="0.25">
      <c r="A13" s="257"/>
      <c r="B13" s="29" t="s">
        <v>177</v>
      </c>
      <c r="C13" s="387">
        <f>C12/$F$4-1</f>
        <v>0.10470409711684381</v>
      </c>
      <c r="D13" s="264">
        <f>D12/$F$4-1</f>
        <v>-0.24317147192716237</v>
      </c>
      <c r="E13" s="387">
        <f>E12/$F$4-1</f>
        <v>0.77162367223065265</v>
      </c>
      <c r="F13" s="258">
        <f>AVERAGE(C13:E13)</f>
        <v>0.21105209914011136</v>
      </c>
      <c r="G13" s="257"/>
      <c r="H13" s="257"/>
      <c r="I13" s="257"/>
      <c r="J13" s="257"/>
      <c r="K13" s="257"/>
      <c r="L13" s="257"/>
      <c r="M13" s="257"/>
      <c r="N13" s="257"/>
      <c r="O13" s="257"/>
    </row>
    <row r="14" spans="1:15" x14ac:dyDescent="0.25">
      <c r="A14" s="87"/>
      <c r="C14" s="179"/>
      <c r="D14" s="179"/>
      <c r="E14" s="179"/>
      <c r="F14" s="179"/>
    </row>
    <row r="15" spans="1:15" x14ac:dyDescent="0.25">
      <c r="B15" s="11" t="s">
        <v>194</v>
      </c>
      <c r="C15" s="179" t="s">
        <v>190</v>
      </c>
      <c r="D15" s="179" t="s">
        <v>189</v>
      </c>
      <c r="E15" s="179" t="s">
        <v>197</v>
      </c>
      <c r="F15" s="179" t="s">
        <v>193</v>
      </c>
    </row>
    <row r="16" spans="1:15" x14ac:dyDescent="0.25">
      <c r="B16" s="4" t="s">
        <v>176</v>
      </c>
      <c r="C16" s="265">
        <v>61.74</v>
      </c>
      <c r="D16" s="263">
        <v>39.4</v>
      </c>
      <c r="E16" s="263">
        <v>93.4</v>
      </c>
      <c r="F16" s="263">
        <f>AVERAGE(C16:E16)</f>
        <v>64.846666666666678</v>
      </c>
    </row>
    <row r="17" spans="2:6" x14ac:dyDescent="0.25">
      <c r="B17" s="29" t="s">
        <v>177</v>
      </c>
      <c r="C17" s="387">
        <f>C16/$F$4-1</f>
        <v>0.17109256449165411</v>
      </c>
      <c r="D17" s="264">
        <f>D16/$F$4-1</f>
        <v>-0.25265553869499247</v>
      </c>
      <c r="E17" s="387">
        <f>E16/$F$4-1</f>
        <v>0.77162367223065265</v>
      </c>
      <c r="F17" s="258">
        <f>AVERAGE(C17:E17)</f>
        <v>0.23002023267577143</v>
      </c>
    </row>
    <row r="18" spans="2:6" x14ac:dyDescent="0.25">
      <c r="C18" s="179"/>
      <c r="D18" s="179"/>
      <c r="E18" s="179"/>
      <c r="F18" s="179"/>
    </row>
    <row r="19" spans="2:6" x14ac:dyDescent="0.25">
      <c r="B19" s="11" t="s">
        <v>195</v>
      </c>
      <c r="C19" s="179" t="s">
        <v>190</v>
      </c>
      <c r="D19" s="179" t="s">
        <v>189</v>
      </c>
      <c r="E19" s="179" t="s">
        <v>197</v>
      </c>
      <c r="F19" s="179" t="s">
        <v>193</v>
      </c>
    </row>
    <row r="20" spans="2:6" x14ac:dyDescent="0.25">
      <c r="B20" s="4" t="s">
        <v>176</v>
      </c>
      <c r="C20" s="265">
        <v>54.98</v>
      </c>
      <c r="D20" s="263">
        <v>40.200000000000003</v>
      </c>
      <c r="E20" s="263">
        <v>93.4</v>
      </c>
      <c r="F20" s="263">
        <f>AVERAGE(C20:E20)</f>
        <v>62.860000000000007</v>
      </c>
    </row>
    <row r="21" spans="2:6" x14ac:dyDescent="0.25">
      <c r="B21" s="29" t="s">
        <v>177</v>
      </c>
      <c r="C21" s="387">
        <f>C20/$F$4-1</f>
        <v>4.2867981790591703E-2</v>
      </c>
      <c r="D21" s="264">
        <f>D20/$F$4-1</f>
        <v>-0.2374810318664643</v>
      </c>
      <c r="E21" s="387">
        <f>E20/$F$4-1</f>
        <v>0.77162367223065265</v>
      </c>
      <c r="F21" s="258">
        <f>AVERAGE(C21:E21)</f>
        <v>0.19233687405159336</v>
      </c>
    </row>
  </sheetData>
  <pageMargins left="0.74803149606299213" right="0.74803149606299213" top="0.98425196850393704" bottom="0.98425196850393704" header="0.51181102362204722" footer="0.51181102362204722"/>
  <pageSetup paperSize="9" scale="63" fitToHeight="4" orientation="landscape" horizontalDpi="4294967292" r:id="rId1"/>
  <headerFooter alignWithMargins="0">
    <oddHeader>&amp;L&amp;F &amp;A</oddHeader>
    <oddFooter>&amp;L© Adkins Matchett &amp; Toy 2017&amp;R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C759-7EE8-4F94-A92F-62A3DBDD70DA}">
  <sheetPr codeName="Sheet13"/>
  <dimension ref="A1:M15"/>
  <sheetViews>
    <sheetView showGridLines="0" zoomScaleNormal="100" workbookViewId="0">
      <selection activeCell="F10" sqref="F10"/>
    </sheetView>
  </sheetViews>
  <sheetFormatPr defaultColWidth="9" defaultRowHeight="15" x14ac:dyDescent="0.25"/>
  <cols>
    <col min="1" max="1" width="2.7109375" style="4" customWidth="1"/>
    <col min="2" max="3" width="9" style="4"/>
    <col min="4" max="4" width="11" style="4" customWidth="1"/>
    <col min="5" max="5" width="8.28515625" style="4" customWidth="1"/>
    <col min="6" max="7" width="9" style="4"/>
    <col min="8" max="8" width="12.28515625" style="4" customWidth="1"/>
    <col min="9" max="9" width="10.140625" style="4" customWidth="1"/>
    <col min="10" max="10" width="14.28515625" style="4" bestFit="1" customWidth="1"/>
    <col min="11" max="11" width="11.42578125" style="4" customWidth="1"/>
    <col min="12" max="12" width="13.140625" style="4" customWidth="1"/>
    <col min="13" max="13" width="15" style="4" bestFit="1" customWidth="1"/>
    <col min="14" max="16384" width="9" style="4"/>
  </cols>
  <sheetData>
    <row r="1" spans="1:13" ht="19.5" x14ac:dyDescent="0.3">
      <c r="A1" s="299" t="str">
        <f>CoName</f>
        <v>Columbia Sportswear Co.</v>
      </c>
    </row>
    <row r="2" spans="1:13" x14ac:dyDescent="0.25">
      <c r="G2" s="385" t="s">
        <v>239</v>
      </c>
    </row>
    <row r="3" spans="1:13" x14ac:dyDescent="0.25">
      <c r="A3" s="29" t="s">
        <v>124</v>
      </c>
      <c r="B3" s="171" t="s">
        <v>100</v>
      </c>
      <c r="C3" s="172"/>
      <c r="D3" s="172"/>
      <c r="E3" s="173"/>
      <c r="F3" s="11"/>
      <c r="G3" s="78" t="s">
        <v>108</v>
      </c>
      <c r="H3" s="78" t="s">
        <v>103</v>
      </c>
      <c r="I3" s="78" t="s">
        <v>104</v>
      </c>
      <c r="J3" s="78" t="s">
        <v>105</v>
      </c>
      <c r="K3" s="78" t="s">
        <v>106</v>
      </c>
      <c r="L3" s="78" t="s">
        <v>111</v>
      </c>
      <c r="M3" s="78" t="s">
        <v>107</v>
      </c>
    </row>
    <row r="4" spans="1:13" x14ac:dyDescent="0.25">
      <c r="A4" s="29"/>
      <c r="B4" s="302" t="s">
        <v>166</v>
      </c>
      <c r="C4" s="68"/>
      <c r="D4" s="73"/>
      <c r="E4" s="303">
        <f>Assumptions!E16</f>
        <v>0.25123160969458763</v>
      </c>
      <c r="G4" s="144" t="s">
        <v>235</v>
      </c>
      <c r="H4" s="145">
        <v>1.3</v>
      </c>
      <c r="I4" s="81">
        <f>4+7996</f>
        <v>8000</v>
      </c>
      <c r="J4" s="82">
        <v>82200</v>
      </c>
      <c r="K4" s="147">
        <f>I4/J4</f>
        <v>9.7323600973236016E-2</v>
      </c>
      <c r="L4" s="161">
        <f>E4</f>
        <v>0.25123160969458763</v>
      </c>
      <c r="M4" s="148">
        <f>H4/((1+K4*(1-L4)))</f>
        <v>1.211699985618977</v>
      </c>
    </row>
    <row r="5" spans="1:13" x14ac:dyDescent="0.25">
      <c r="A5" s="29"/>
      <c r="B5" s="68" t="s">
        <v>93</v>
      </c>
      <c r="C5" s="68"/>
      <c r="D5" s="73"/>
      <c r="E5" s="143">
        <v>4.3400000000000001E-2</v>
      </c>
      <c r="G5" s="144" t="s">
        <v>236</v>
      </c>
      <c r="H5" s="145">
        <v>1.07</v>
      </c>
      <c r="I5" s="81">
        <v>0</v>
      </c>
      <c r="J5" s="82">
        <v>20200</v>
      </c>
      <c r="K5" s="147">
        <v>0</v>
      </c>
      <c r="L5" s="161">
        <f>L4</f>
        <v>0.25123160969458763</v>
      </c>
      <c r="M5" s="148">
        <f t="shared" ref="M5:M7" si="0">H5/((1+K5*(1-L5)))</f>
        <v>1.07</v>
      </c>
    </row>
    <row r="6" spans="1:13" x14ac:dyDescent="0.25">
      <c r="A6" s="29"/>
      <c r="B6" s="68" t="s">
        <v>94</v>
      </c>
      <c r="C6" s="68"/>
      <c r="D6" s="73"/>
      <c r="E6" s="143">
        <v>0.05</v>
      </c>
      <c r="G6" s="144" t="s">
        <v>237</v>
      </c>
      <c r="H6" s="146">
        <v>1.05</v>
      </c>
      <c r="I6" s="83">
        <v>0</v>
      </c>
      <c r="J6" s="82">
        <v>12900</v>
      </c>
      <c r="K6" s="147">
        <v>0</v>
      </c>
      <c r="L6" s="161">
        <f t="shared" ref="L6:L7" si="1">L5</f>
        <v>0.25123160969458763</v>
      </c>
      <c r="M6" s="148">
        <f t="shared" si="0"/>
        <v>1.05</v>
      </c>
    </row>
    <row r="7" spans="1:13" x14ac:dyDescent="0.25">
      <c r="A7" s="29"/>
      <c r="B7" s="68" t="s">
        <v>95</v>
      </c>
      <c r="C7" s="68"/>
      <c r="D7" s="73"/>
      <c r="E7" s="235">
        <f>M11</f>
        <v>1.2637542975730778</v>
      </c>
      <c r="G7" s="144" t="s">
        <v>238</v>
      </c>
      <c r="H7" s="146">
        <v>1.78</v>
      </c>
      <c r="I7" s="83">
        <f>978.9+3561</f>
        <v>4539.8999999999996</v>
      </c>
      <c r="J7" s="84">
        <v>6400</v>
      </c>
      <c r="K7" s="147">
        <f>I7/J7</f>
        <v>0.7093593749999999</v>
      </c>
      <c r="L7" s="161">
        <f t="shared" si="1"/>
        <v>0.25123160969458763</v>
      </c>
      <c r="M7" s="148">
        <f t="shared" si="0"/>
        <v>1.1625280297009748</v>
      </c>
    </row>
    <row r="8" spans="1:13" x14ac:dyDescent="0.25">
      <c r="A8" s="29"/>
      <c r="B8" s="68" t="s">
        <v>96</v>
      </c>
      <c r="C8" s="68"/>
      <c r="D8" s="73"/>
      <c r="E8" s="143">
        <f>E5+E6*E7</f>
        <v>0.1065877148786539</v>
      </c>
      <c r="L8" s="67"/>
    </row>
    <row r="9" spans="1:13" x14ac:dyDescent="0.25">
      <c r="A9" s="29"/>
      <c r="B9" s="69" t="s">
        <v>97</v>
      </c>
      <c r="C9" s="69"/>
      <c r="D9" s="74"/>
      <c r="E9" s="149">
        <f>1-E10</f>
        <v>0.83335318527379665</v>
      </c>
      <c r="G9" s="4" t="s">
        <v>109</v>
      </c>
      <c r="L9" s="29"/>
      <c r="M9" s="234">
        <f>AVERAGE(M4:M7)</f>
        <v>1.123557003829988</v>
      </c>
    </row>
    <row r="10" spans="1:13" x14ac:dyDescent="0.25">
      <c r="A10" s="29"/>
      <c r="B10" s="70" t="s">
        <v>98</v>
      </c>
      <c r="C10" s="70"/>
      <c r="D10" s="75"/>
      <c r="E10" s="150">
        <f>MAIN!F8/MAIN!F6</f>
        <v>0.16664681472620335</v>
      </c>
      <c r="M10" s="67"/>
    </row>
    <row r="11" spans="1:13" x14ac:dyDescent="0.25">
      <c r="A11" s="29"/>
      <c r="B11" s="170" t="s">
        <v>178</v>
      </c>
      <c r="C11" s="71"/>
      <c r="D11" s="76"/>
      <c r="E11" s="151">
        <v>1.4999999999999999E-2</v>
      </c>
      <c r="G11" s="4" t="s">
        <v>110</v>
      </c>
      <c r="L11" s="29"/>
      <c r="M11" s="234">
        <f>M9*(1+E10*(1-E4))</f>
        <v>1.2637542975730778</v>
      </c>
    </row>
    <row r="12" spans="1:13" x14ac:dyDescent="0.25">
      <c r="A12" s="29"/>
      <c r="B12" s="72" t="s">
        <v>99</v>
      </c>
      <c r="C12" s="72"/>
      <c r="D12" s="77"/>
      <c r="E12" s="151">
        <f>E11*(1-E4)</f>
        <v>1.1231525854581184E-2</v>
      </c>
      <c r="M12" s="67"/>
    </row>
    <row r="13" spans="1:13" s="11" customFormat="1" x14ac:dyDescent="0.25">
      <c r="A13" s="26" t="s">
        <v>124</v>
      </c>
      <c r="B13" s="171" t="s">
        <v>100</v>
      </c>
      <c r="C13" s="172"/>
      <c r="D13" s="173"/>
      <c r="E13" s="167">
        <f>WACC!E8*WACC!E9+WACC!E12*WACC!E10</f>
        <v>9.0696909713362417E-2</v>
      </c>
      <c r="F13" s="4"/>
    </row>
    <row r="14" spans="1:13" s="11" customFormat="1" x14ac:dyDescent="0.25">
      <c r="A14" s="26"/>
      <c r="B14" s="78" t="s">
        <v>101</v>
      </c>
      <c r="C14" s="78"/>
      <c r="D14" s="117"/>
      <c r="E14" s="153">
        <v>2.5000000000000001E-2</v>
      </c>
      <c r="F14" s="4"/>
    </row>
    <row r="15" spans="1:13" x14ac:dyDescent="0.25">
      <c r="B15" s="67"/>
      <c r="C15" s="67"/>
      <c r="D15" s="67"/>
      <c r="E15" s="6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40EB-072D-4DA9-B457-4757931D9A4D}">
  <sheetPr codeName="Sheet14"/>
  <dimension ref="A1:Q45"/>
  <sheetViews>
    <sheetView showGridLines="0" zoomScaleNormal="100" workbookViewId="0">
      <selection activeCell="F18" sqref="F18"/>
    </sheetView>
  </sheetViews>
  <sheetFormatPr defaultColWidth="9" defaultRowHeight="15" x14ac:dyDescent="0.25"/>
  <cols>
    <col min="1" max="1" width="2" style="4" customWidth="1"/>
    <col min="2" max="2" width="22.42578125" style="4" bestFit="1" customWidth="1"/>
    <col min="3" max="3" width="12.7109375" style="4" customWidth="1"/>
    <col min="4" max="4" width="15.85546875" style="4" customWidth="1"/>
    <col min="5" max="5" width="10.42578125" style="4" customWidth="1"/>
    <col min="6" max="6" width="12.140625" style="4" customWidth="1"/>
    <col min="7" max="7" width="11.42578125" style="4" bestFit="1" customWidth="1"/>
    <col min="8" max="12" width="11.7109375" style="4" customWidth="1"/>
    <col min="13" max="16384" width="9" style="4"/>
  </cols>
  <sheetData>
    <row r="1" spans="1:14" ht="19.5" x14ac:dyDescent="0.3">
      <c r="A1" s="299" t="str">
        <f>CoName</f>
        <v>Columbia Sportswear Co.</v>
      </c>
      <c r="B1" s="3"/>
      <c r="C1" s="3"/>
      <c r="D1" s="42" t="s">
        <v>1</v>
      </c>
      <c r="E1" s="42" t="s">
        <v>1</v>
      </c>
      <c r="F1" s="42" t="s">
        <v>1</v>
      </c>
      <c r="G1" s="42" t="s">
        <v>1</v>
      </c>
      <c r="H1" s="42" t="s">
        <v>1</v>
      </c>
      <c r="I1" s="42"/>
      <c r="J1" s="42"/>
      <c r="K1" s="42"/>
      <c r="L1" s="42"/>
      <c r="M1" s="42"/>
    </row>
    <row r="2" spans="1:14" x14ac:dyDescent="0.25">
      <c r="A2" s="78" t="s">
        <v>112</v>
      </c>
      <c r="B2" s="21"/>
      <c r="C2" s="43"/>
      <c r="D2" s="78">
        <v>0.5</v>
      </c>
      <c r="E2" s="78">
        <f>D2+1</f>
        <v>1.5</v>
      </c>
      <c r="F2" s="78">
        <f t="shared" ref="F2:H2" si="0">E2+1</f>
        <v>2.5</v>
      </c>
      <c r="G2" s="78">
        <f t="shared" si="0"/>
        <v>3.5</v>
      </c>
      <c r="H2" s="78">
        <f t="shared" si="0"/>
        <v>4.5</v>
      </c>
      <c r="I2" s="344"/>
      <c r="J2" s="344"/>
      <c r="K2" s="344"/>
      <c r="L2" s="168"/>
      <c r="M2" s="168"/>
      <c r="N2" s="168"/>
    </row>
    <row r="3" spans="1:14" x14ac:dyDescent="0.25">
      <c r="D3" s="8">
        <f>1/(1+WACC!$E$13)^D2</f>
        <v>0.95752023085393423</v>
      </c>
      <c r="E3" s="8">
        <f>1/(1+WACC!$E$13)^E2</f>
        <v>0.87789762887067568</v>
      </c>
      <c r="F3" s="8">
        <f>1/(1+WACC!$E$13)^F2</f>
        <v>0.80489604495293687</v>
      </c>
      <c r="G3" s="8">
        <f>1/(1+WACC!$E$13)^G2</f>
        <v>0.73796490829378569</v>
      </c>
      <c r="H3" s="8">
        <f>1/(1+WACC!$E$13)^H2</f>
        <v>0.67659943080587304</v>
      </c>
      <c r="I3" s="8"/>
      <c r="J3" s="8"/>
      <c r="K3" s="8"/>
    </row>
    <row r="4" spans="1:14" x14ac:dyDescent="0.25">
      <c r="D4" s="4">
        <f>'Free Cash Flow'!F15*D3</f>
        <v>181809.11139428482</v>
      </c>
      <c r="E4" s="4">
        <f>'Free Cash Flow'!G15*E3</f>
        <v>159129.56992142211</v>
      </c>
      <c r="F4" s="4">
        <f>'Free Cash Flow'!H15*F3</f>
        <v>149230.60945063527</v>
      </c>
      <c r="G4" s="4">
        <f>'Free Cash Flow'!I15*G3</f>
        <v>139470.15516465937</v>
      </c>
      <c r="H4" s="4">
        <f>'Free Cash Flow'!J15*H3</f>
        <v>130019.85450083342</v>
      </c>
    </row>
    <row r="5" spans="1:14" x14ac:dyDescent="0.25">
      <c r="G5" s="152"/>
      <c r="H5" s="4">
        <f>((H4*(1+L13))/(L12-L13))</f>
        <v>2206380.0408997736</v>
      </c>
    </row>
    <row r="6" spans="1:14" x14ac:dyDescent="0.25">
      <c r="A6" s="78" t="s">
        <v>113</v>
      </c>
      <c r="B6" s="21"/>
      <c r="C6" s="43"/>
      <c r="D6" s="87"/>
      <c r="E6" s="78" t="s">
        <v>171</v>
      </c>
      <c r="F6" s="21"/>
      <c r="G6" s="43"/>
      <c r="H6" s="87" t="s">
        <v>167</v>
      </c>
    </row>
    <row r="7" spans="1:14" x14ac:dyDescent="0.25">
      <c r="B7" s="4" t="s">
        <v>114</v>
      </c>
      <c r="C7" s="4">
        <f>SUM(D4:H4)</f>
        <v>759659.300431835</v>
      </c>
      <c r="E7" s="4" t="s">
        <v>114</v>
      </c>
      <c r="G7" s="4">
        <f>C7</f>
        <v>759659.300431835</v>
      </c>
    </row>
    <row r="8" spans="1:14" x14ac:dyDescent="0.25">
      <c r="B8" s="4" t="s">
        <v>115</v>
      </c>
      <c r="C8" s="4">
        <f>H5*H3</f>
        <v>1492835.4798142256</v>
      </c>
      <c r="E8" s="4" t="s">
        <v>172</v>
      </c>
      <c r="G8" s="4">
        <f>G10*IncState!J23*'DCF Model'!H3</f>
        <v>2358902.7421074309</v>
      </c>
    </row>
    <row r="9" spans="1:14" x14ac:dyDescent="0.25">
      <c r="B9" s="4" t="s">
        <v>116</v>
      </c>
      <c r="C9" s="4">
        <f>SUM(C7:C8)</f>
        <v>2252494.7802460603</v>
      </c>
      <c r="E9" s="4" t="s">
        <v>116</v>
      </c>
      <c r="G9" s="4">
        <f>SUM(G7:G8)</f>
        <v>3118562.0425392659</v>
      </c>
    </row>
    <row r="10" spans="1:14" x14ac:dyDescent="0.25">
      <c r="C10" s="86"/>
      <c r="E10" s="4" t="s">
        <v>117</v>
      </c>
      <c r="G10" s="86">
        <v>10</v>
      </c>
    </row>
    <row r="11" spans="1:14" x14ac:dyDescent="0.25">
      <c r="I11" s="168"/>
    </row>
    <row r="12" spans="1:14" x14ac:dyDescent="0.25">
      <c r="B12" s="29" t="s">
        <v>118</v>
      </c>
      <c r="C12" s="38">
        <f>MAIN!F7</f>
        <v>579027</v>
      </c>
      <c r="E12" s="29" t="s">
        <v>118</v>
      </c>
      <c r="F12" s="164"/>
      <c r="G12" s="38">
        <f>C12</f>
        <v>579027</v>
      </c>
      <c r="I12" s="171" t="s">
        <v>100</v>
      </c>
      <c r="J12" s="172"/>
      <c r="K12" s="173"/>
      <c r="L12" s="167">
        <f>WACC!E13</f>
        <v>9.0696909713362417E-2</v>
      </c>
    </row>
    <row r="13" spans="1:14" x14ac:dyDescent="0.25">
      <c r="B13" s="29" t="s">
        <v>119</v>
      </c>
      <c r="C13" s="38">
        <f>MAIN!F8</f>
        <v>481189</v>
      </c>
      <c r="E13" s="29" t="s">
        <v>119</v>
      </c>
      <c r="F13" s="164"/>
      <c r="G13" s="38">
        <f t="shared" ref="G13:G14" si="1">C13</f>
        <v>481189</v>
      </c>
      <c r="I13" s="78" t="s">
        <v>101</v>
      </c>
      <c r="J13" s="78"/>
      <c r="K13" s="117"/>
      <c r="L13" s="153">
        <v>0.03</v>
      </c>
    </row>
    <row r="14" spans="1:14" x14ac:dyDescent="0.25">
      <c r="B14" s="29" t="s">
        <v>120</v>
      </c>
      <c r="C14" s="80">
        <v>0</v>
      </c>
      <c r="E14" s="4" t="s">
        <v>120</v>
      </c>
      <c r="F14" s="29"/>
      <c r="G14" s="38">
        <f t="shared" si="1"/>
        <v>0</v>
      </c>
    </row>
    <row r="15" spans="1:14" x14ac:dyDescent="0.25">
      <c r="B15" s="4" t="s">
        <v>121</v>
      </c>
      <c r="C15" s="67">
        <f>C9+C12-C13</f>
        <v>2350332.7802460603</v>
      </c>
      <c r="E15" s="4" t="s">
        <v>121</v>
      </c>
      <c r="G15" s="67">
        <f>G9+G12-G13</f>
        <v>3216400.0425392659</v>
      </c>
    </row>
    <row r="17" spans="1:17" x14ac:dyDescent="0.25">
      <c r="B17" s="4" t="s">
        <v>122</v>
      </c>
      <c r="C17" s="4">
        <f>IncState!E39</f>
        <v>58502</v>
      </c>
      <c r="E17" s="4" t="s">
        <v>122</v>
      </c>
      <c r="G17" s="4">
        <f>C17</f>
        <v>58502</v>
      </c>
    </row>
    <row r="18" spans="1:17" x14ac:dyDescent="0.25">
      <c r="A18" s="4" t="s">
        <v>124</v>
      </c>
      <c r="B18" s="154" t="s">
        <v>123</v>
      </c>
      <c r="C18" s="166">
        <f>C15/C17</f>
        <v>40.175255209156276</v>
      </c>
      <c r="E18" s="154" t="s">
        <v>123</v>
      </c>
      <c r="F18" s="164"/>
      <c r="G18" s="386">
        <f>G15/G17</f>
        <v>54.979317673571259</v>
      </c>
    </row>
    <row r="19" spans="1:17" x14ac:dyDescent="0.25">
      <c r="C19" s="23"/>
    </row>
    <row r="20" spans="1:17" x14ac:dyDescent="0.25">
      <c r="A20" s="120" t="s">
        <v>147</v>
      </c>
      <c r="B20" s="21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231"/>
    </row>
    <row r="21" spans="1:17" x14ac:dyDescent="0.25">
      <c r="B21" s="121"/>
      <c r="C21" s="121"/>
      <c r="D21" s="121"/>
      <c r="E21" s="121"/>
      <c r="F21" s="121"/>
      <c r="G21" s="121"/>
      <c r="H21" s="121"/>
      <c r="I21" s="121"/>
    </row>
    <row r="22" spans="1:17" x14ac:dyDescent="0.25">
      <c r="B22" s="121"/>
      <c r="C22" s="121" t="s">
        <v>148</v>
      </c>
      <c r="D22" s="121"/>
      <c r="E22" s="122">
        <v>5.0000000000000001E-3</v>
      </c>
      <c r="F22" s="121"/>
      <c r="G22" s="121"/>
      <c r="J22" s="121" t="s">
        <v>148</v>
      </c>
      <c r="K22" s="121"/>
      <c r="L22" s="122">
        <v>5.0000000000000001E-3</v>
      </c>
    </row>
    <row r="23" spans="1:17" x14ac:dyDescent="0.25">
      <c r="B23" s="121"/>
      <c r="C23" s="121" t="s">
        <v>149</v>
      </c>
      <c r="D23" s="121"/>
      <c r="E23" s="155">
        <v>2.5000000000000001E-3</v>
      </c>
      <c r="F23" s="121"/>
      <c r="G23" s="121"/>
      <c r="J23" s="121" t="s">
        <v>170</v>
      </c>
      <c r="K23" s="121"/>
      <c r="L23" s="163">
        <v>1</v>
      </c>
    </row>
    <row r="24" spans="1:17" x14ac:dyDescent="0.25">
      <c r="B24" s="121"/>
      <c r="C24" s="121"/>
      <c r="D24" s="121"/>
      <c r="E24" s="177"/>
      <c r="F24" s="121"/>
      <c r="G24" s="121"/>
      <c r="J24" s="121"/>
      <c r="K24" s="121"/>
      <c r="L24" s="176"/>
    </row>
    <row r="25" spans="1:17" x14ac:dyDescent="0.25">
      <c r="A25" s="158" t="s">
        <v>173</v>
      </c>
      <c r="B25" s="16"/>
      <c r="C25" s="156"/>
      <c r="D25" s="156"/>
      <c r="E25" s="157"/>
      <c r="F25" s="156"/>
      <c r="G25" s="156"/>
      <c r="H25" s="156"/>
      <c r="I25" s="156"/>
      <c r="J25" s="165"/>
      <c r="K25" s="16"/>
      <c r="L25" s="16"/>
      <c r="M25" s="16"/>
      <c r="N25" s="16"/>
      <c r="O25" s="16"/>
      <c r="P25" s="16"/>
    </row>
    <row r="26" spans="1:17" x14ac:dyDescent="0.25">
      <c r="B26" s="121"/>
      <c r="C26" s="121"/>
      <c r="D26" s="121"/>
      <c r="E26" s="121"/>
      <c r="F26" s="121"/>
      <c r="H26" s="121"/>
      <c r="I26" s="179"/>
      <c r="P26" s="179"/>
    </row>
    <row r="27" spans="1:17" x14ac:dyDescent="0.25">
      <c r="B27" s="168"/>
      <c r="C27" s="175"/>
      <c r="D27" s="121"/>
      <c r="E27" s="274"/>
      <c r="F27" s="275"/>
      <c r="G27" s="274"/>
      <c r="I27" s="121"/>
      <c r="J27" s="274"/>
    </row>
    <row r="28" spans="1:17" x14ac:dyDescent="0.25">
      <c r="B28" s="168"/>
      <c r="C28" s="276"/>
      <c r="E28" s="121"/>
      <c r="F28" s="277"/>
      <c r="G28" s="277"/>
      <c r="H28" s="277"/>
      <c r="I28" s="179"/>
      <c r="J28" s="179"/>
      <c r="N28" s="278"/>
      <c r="P28" s="179"/>
    </row>
    <row r="29" spans="1:17" x14ac:dyDescent="0.25">
      <c r="B29" s="168"/>
      <c r="C29" s="276"/>
      <c r="E29" s="279"/>
      <c r="F29" s="179"/>
      <c r="G29" s="179"/>
      <c r="H29" s="260"/>
      <c r="I29" s="260"/>
      <c r="J29" s="260"/>
      <c r="N29" s="280"/>
      <c r="O29" s="48"/>
      <c r="P29" s="48"/>
      <c r="Q29" s="48"/>
    </row>
    <row r="30" spans="1:17" x14ac:dyDescent="0.25">
      <c r="E30" s="255"/>
      <c r="F30" s="179"/>
      <c r="G30" s="281"/>
      <c r="H30" s="282"/>
      <c r="I30" s="282"/>
      <c r="J30" s="282"/>
      <c r="N30" s="283"/>
      <c r="O30" s="175"/>
      <c r="P30" s="175"/>
      <c r="Q30" s="175"/>
    </row>
    <row r="31" spans="1:17" x14ac:dyDescent="0.25">
      <c r="F31" s="260"/>
      <c r="G31" s="282"/>
      <c r="H31" s="261"/>
      <c r="I31" s="261"/>
      <c r="J31" s="261"/>
      <c r="K31" s="284"/>
      <c r="M31" s="48"/>
      <c r="N31" s="175"/>
      <c r="O31" s="86"/>
      <c r="P31" s="86"/>
      <c r="Q31" s="86"/>
    </row>
    <row r="32" spans="1:17" x14ac:dyDescent="0.25">
      <c r="F32" s="260"/>
      <c r="G32" s="282"/>
      <c r="H32" s="261"/>
      <c r="I32" s="261"/>
      <c r="J32" s="261"/>
      <c r="K32" s="284"/>
      <c r="M32" s="48"/>
      <c r="N32" s="175"/>
      <c r="O32" s="86"/>
      <c r="P32" s="86"/>
      <c r="Q32" s="86"/>
    </row>
    <row r="33" spans="2:17" x14ac:dyDescent="0.25">
      <c r="D33" s="48"/>
      <c r="E33" s="152"/>
      <c r="F33" s="260"/>
      <c r="G33" s="282"/>
      <c r="H33" s="261"/>
      <c r="I33" s="261"/>
      <c r="J33" s="261"/>
      <c r="K33" s="284"/>
      <c r="L33" s="152"/>
      <c r="M33" s="48"/>
      <c r="N33" s="175"/>
      <c r="O33" s="86"/>
      <c r="P33" s="86"/>
      <c r="Q33" s="86"/>
    </row>
    <row r="34" spans="2:17" x14ac:dyDescent="0.25">
      <c r="D34" s="48"/>
      <c r="E34" s="255"/>
      <c r="F34" s="260"/>
      <c r="G34" s="282"/>
      <c r="H34" s="261"/>
      <c r="I34" s="261"/>
      <c r="J34" s="261"/>
      <c r="K34" s="278"/>
      <c r="M34" s="48"/>
      <c r="N34" s="175"/>
      <c r="O34" s="86"/>
      <c r="P34" s="86"/>
      <c r="Q34" s="86"/>
    </row>
    <row r="35" spans="2:17" x14ac:dyDescent="0.25">
      <c r="D35" s="48"/>
      <c r="E35" s="255"/>
      <c r="F35" s="260"/>
      <c r="G35" s="282"/>
      <c r="H35" s="261"/>
      <c r="I35" s="261"/>
      <c r="J35" s="261"/>
      <c r="K35" s="278"/>
      <c r="M35" s="48"/>
      <c r="N35" s="175"/>
      <c r="O35" s="86"/>
      <c r="P35" s="86"/>
      <c r="Q35" s="86"/>
    </row>
    <row r="36" spans="2:17" x14ac:dyDescent="0.25">
      <c r="B36" s="285"/>
      <c r="C36" s="285"/>
      <c r="D36" s="285"/>
      <c r="E36" s="286"/>
      <c r="F36" s="287"/>
      <c r="G36" s="286"/>
    </row>
    <row r="37" spans="2:17" x14ac:dyDescent="0.25">
      <c r="B37" s="121"/>
      <c r="C37" s="121"/>
      <c r="D37" s="121"/>
      <c r="E37" s="121"/>
      <c r="F37" s="275"/>
      <c r="G37" s="275"/>
      <c r="H37" s="275"/>
      <c r="I37" s="179"/>
      <c r="J37" s="179"/>
      <c r="P37" s="179"/>
    </row>
    <row r="38" spans="2:17" x14ac:dyDescent="0.25">
      <c r="F38" s="262"/>
      <c r="G38" s="262"/>
      <c r="H38" s="260"/>
      <c r="I38" s="260"/>
      <c r="J38" s="260"/>
      <c r="M38" s="179"/>
      <c r="O38" s="86"/>
      <c r="P38" s="86"/>
      <c r="Q38" s="86"/>
    </row>
    <row r="39" spans="2:17" x14ac:dyDescent="0.25">
      <c r="E39" s="48"/>
      <c r="F39" s="259"/>
      <c r="G39" s="288"/>
      <c r="H39" s="282"/>
      <c r="I39" s="282"/>
      <c r="J39" s="282"/>
      <c r="L39" s="86"/>
      <c r="M39" s="86"/>
      <c r="N39" s="289"/>
      <c r="O39" s="178"/>
      <c r="P39" s="178"/>
      <c r="Q39" s="178"/>
    </row>
    <row r="40" spans="2:17" x14ac:dyDescent="0.25">
      <c r="E40" s="48"/>
      <c r="F40" s="260"/>
      <c r="G40" s="282"/>
      <c r="H40" s="259"/>
      <c r="I40" s="259"/>
      <c r="J40" s="259"/>
      <c r="K40" s="48"/>
      <c r="M40" s="48"/>
      <c r="N40" s="175"/>
      <c r="O40" s="290"/>
      <c r="P40" s="290"/>
      <c r="Q40" s="290"/>
    </row>
    <row r="41" spans="2:17" x14ac:dyDescent="0.25">
      <c r="D41" s="8"/>
      <c r="E41" s="48"/>
      <c r="F41" s="260"/>
      <c r="G41" s="282"/>
      <c r="H41" s="259"/>
      <c r="I41" s="259"/>
      <c r="J41" s="259"/>
      <c r="K41" s="8"/>
      <c r="L41" s="48"/>
      <c r="M41" s="48"/>
      <c r="N41" s="175"/>
      <c r="O41" s="290"/>
      <c r="P41" s="290"/>
      <c r="Q41" s="290"/>
    </row>
    <row r="42" spans="2:17" x14ac:dyDescent="0.25">
      <c r="D42" s="8"/>
      <c r="E42" s="152"/>
      <c r="F42" s="260"/>
      <c r="G42" s="282"/>
      <c r="H42" s="259"/>
      <c r="I42" s="259"/>
      <c r="J42" s="259"/>
      <c r="K42" s="8"/>
      <c r="L42" s="152"/>
      <c r="M42" s="48"/>
      <c r="N42" s="175"/>
      <c r="O42" s="290"/>
      <c r="P42" s="290"/>
      <c r="Q42" s="290"/>
    </row>
    <row r="43" spans="2:17" x14ac:dyDescent="0.25">
      <c r="D43" s="8"/>
      <c r="E43" s="48"/>
      <c r="F43" s="260"/>
      <c r="G43" s="282"/>
      <c r="H43" s="259"/>
      <c r="I43" s="259"/>
      <c r="J43" s="259"/>
      <c r="K43" s="8"/>
      <c r="L43" s="48"/>
      <c r="M43" s="48"/>
      <c r="N43" s="175"/>
      <c r="O43" s="290"/>
      <c r="P43" s="290"/>
      <c r="Q43" s="290"/>
    </row>
    <row r="44" spans="2:17" x14ac:dyDescent="0.25">
      <c r="D44" s="8"/>
      <c r="E44" s="8"/>
      <c r="F44" s="260"/>
      <c r="G44" s="282"/>
      <c r="H44" s="259"/>
      <c r="I44" s="259"/>
      <c r="J44" s="259"/>
      <c r="K44" s="8"/>
      <c r="L44" s="48"/>
      <c r="M44" s="48"/>
      <c r="N44" s="175"/>
      <c r="O44" s="290"/>
      <c r="P44" s="290"/>
      <c r="Q44" s="290"/>
    </row>
    <row r="45" spans="2:17" x14ac:dyDescent="0.25">
      <c r="D45" s="8"/>
      <c r="E45" s="8"/>
      <c r="F45" s="86"/>
      <c r="G45" s="86"/>
      <c r="H45" s="86"/>
      <c r="J45" s="8"/>
      <c r="K45" s="8"/>
      <c r="L45" s="48"/>
      <c r="M45" s="48"/>
      <c r="N45" s="48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F967-9893-4C24-9902-E3B112D5E747}">
  <sheetPr codeName="Sheet15"/>
  <dimension ref="A1:M36"/>
  <sheetViews>
    <sheetView showGridLines="0" zoomScaleNormal="100" workbookViewId="0">
      <selection activeCell="J14" sqref="J14"/>
    </sheetView>
  </sheetViews>
  <sheetFormatPr defaultColWidth="9.140625" defaultRowHeight="15" x14ac:dyDescent="0.25"/>
  <cols>
    <col min="1" max="1" width="2.140625" style="4" bestFit="1" customWidth="1"/>
    <col min="2" max="2" width="22.7109375" style="4" bestFit="1" customWidth="1"/>
    <col min="3" max="3" width="14.42578125" style="4" bestFit="1" customWidth="1"/>
    <col min="4" max="4" width="12.42578125" style="4" customWidth="1"/>
    <col min="5" max="5" width="12.140625" style="4" bestFit="1" customWidth="1"/>
    <col min="6" max="8" width="12.42578125" style="4" bestFit="1" customWidth="1"/>
    <col min="9" max="9" width="11.42578125" style="4" bestFit="1" customWidth="1"/>
    <col min="10" max="10" width="13.28515625" style="4" bestFit="1" customWidth="1"/>
    <col min="11" max="13" width="11.42578125" style="4" bestFit="1" customWidth="1"/>
    <col min="14" max="16384" width="9.140625" style="4"/>
  </cols>
  <sheetData>
    <row r="1" spans="1:13" ht="19.5" x14ac:dyDescent="0.3">
      <c r="A1" s="299" t="str">
        <f>CoName</f>
        <v>Columbia Sportswear Co.</v>
      </c>
    </row>
    <row r="2" spans="1:13" ht="30" x14ac:dyDescent="0.25">
      <c r="A2" s="4" t="s">
        <v>124</v>
      </c>
      <c r="B2" s="241"/>
      <c r="C2" s="240" t="s">
        <v>183</v>
      </c>
      <c r="D2" s="240" t="s">
        <v>179</v>
      </c>
      <c r="E2" s="240" t="s">
        <v>184</v>
      </c>
      <c r="F2" s="240" t="s">
        <v>180</v>
      </c>
      <c r="G2" s="242" t="s">
        <v>186</v>
      </c>
      <c r="H2" s="242" t="s">
        <v>185</v>
      </c>
      <c r="I2" s="242" t="s">
        <v>187</v>
      </c>
      <c r="J2" s="242" t="s">
        <v>188</v>
      </c>
    </row>
    <row r="3" spans="1:13" x14ac:dyDescent="0.25">
      <c r="A3" s="29"/>
      <c r="B3" s="4" t="s">
        <v>240</v>
      </c>
      <c r="C3" s="4" t="s">
        <v>236</v>
      </c>
      <c r="D3" s="243">
        <v>117.94</v>
      </c>
      <c r="E3" s="204">
        <v>21700</v>
      </c>
      <c r="F3" s="86">
        <v>7.3</v>
      </c>
      <c r="G3" s="86">
        <f>E3/(10588-4317-3762)</f>
        <v>8.6488640892785966</v>
      </c>
      <c r="H3" s="86">
        <v>12.16</v>
      </c>
      <c r="I3" s="248">
        <v>1.99</v>
      </c>
    </row>
    <row r="4" spans="1:13" x14ac:dyDescent="0.25">
      <c r="A4" s="29"/>
      <c r="B4" s="4" t="s">
        <v>241</v>
      </c>
      <c r="C4" s="4" t="s">
        <v>235</v>
      </c>
      <c r="D4" s="243">
        <v>69.13</v>
      </c>
      <c r="E4" s="204">
        <v>104600</v>
      </c>
      <c r="F4" s="86">
        <v>24.93</v>
      </c>
      <c r="G4" s="86">
        <f>E4/(19790-11400)</f>
        <v>12.467222884386175</v>
      </c>
      <c r="H4" s="86">
        <v>34.549999999999997</v>
      </c>
      <c r="I4" s="248">
        <v>2.25</v>
      </c>
    </row>
    <row r="5" spans="1:13" x14ac:dyDescent="0.25">
      <c r="A5" s="29"/>
      <c r="B5" s="4" t="s">
        <v>243</v>
      </c>
      <c r="C5" s="4" t="s">
        <v>237</v>
      </c>
      <c r="D5" s="243">
        <v>87.23</v>
      </c>
      <c r="E5" s="204">
        <v>11800</v>
      </c>
      <c r="F5" s="86">
        <v>8.9600000000000009</v>
      </c>
      <c r="G5" s="86">
        <f>E5/(1179.1)</f>
        <v>10.007632940378256</v>
      </c>
      <c r="H5" s="86">
        <v>12.92</v>
      </c>
      <c r="I5" s="248">
        <v>2.2400000000000002</v>
      </c>
    </row>
    <row r="6" spans="1:13" x14ac:dyDescent="0.25">
      <c r="A6" s="29"/>
      <c r="B6" s="4" t="s">
        <v>244</v>
      </c>
      <c r="C6" s="4" t="s">
        <v>238</v>
      </c>
      <c r="D6" s="243">
        <v>16.36</v>
      </c>
      <c r="E6" s="204">
        <v>11400</v>
      </c>
      <c r="F6" s="86">
        <v>14.79</v>
      </c>
      <c r="G6" s="86">
        <f>E6/303.8</f>
        <v>37.524687294272546</v>
      </c>
      <c r="H6" s="86">
        <v>60.41</v>
      </c>
      <c r="I6" s="248">
        <v>1.2</v>
      </c>
    </row>
    <row r="7" spans="1:13" x14ac:dyDescent="0.25">
      <c r="A7" s="29"/>
      <c r="B7" s="4" t="s">
        <v>245</v>
      </c>
      <c r="C7" s="4" t="s">
        <v>242</v>
      </c>
      <c r="D7" s="243">
        <v>4.82</v>
      </c>
      <c r="E7" s="204">
        <v>2800</v>
      </c>
      <c r="F7" s="86">
        <v>8.07</v>
      </c>
      <c r="G7" s="86">
        <f>E7/150</f>
        <v>18.666666666666668</v>
      </c>
      <c r="H7" s="250">
        <v>21.86</v>
      </c>
      <c r="I7" s="249">
        <v>0.55000000000000004</v>
      </c>
    </row>
    <row r="8" spans="1:13" x14ac:dyDescent="0.25">
      <c r="A8" s="29" t="s">
        <v>124</v>
      </c>
      <c r="B8" s="237" t="s">
        <v>181</v>
      </c>
      <c r="C8" s="237"/>
      <c r="D8" s="244"/>
      <c r="E8" s="246"/>
      <c r="F8" s="251">
        <f>AVERAGE(F3:F7)</f>
        <v>12.809999999999999</v>
      </c>
      <c r="G8" s="251">
        <f t="shared" ref="G8:I8" si="0">AVERAGE(G3:G7)</f>
        <v>17.463014774996449</v>
      </c>
      <c r="H8" s="251">
        <f t="shared" si="0"/>
        <v>28.379999999999995</v>
      </c>
      <c r="I8" s="252">
        <f t="shared" si="0"/>
        <v>1.6460000000000001</v>
      </c>
    </row>
    <row r="9" spans="1:13" x14ac:dyDescent="0.25">
      <c r="B9" s="67"/>
      <c r="C9" s="236"/>
      <c r="D9" s="245"/>
      <c r="E9" s="205"/>
      <c r="F9" s="236"/>
      <c r="G9" s="67"/>
      <c r="H9" s="67"/>
      <c r="I9" s="67"/>
    </row>
    <row r="10" spans="1:13" x14ac:dyDescent="0.25">
      <c r="A10" s="4" t="s">
        <v>124</v>
      </c>
      <c r="B10" s="11" t="s">
        <v>192</v>
      </c>
      <c r="C10" s="86" t="s">
        <v>246</v>
      </c>
      <c r="D10" s="243">
        <f>MAIN!F4</f>
        <v>52.72</v>
      </c>
      <c r="E10" s="204">
        <f>MAIN!F9*0.001</f>
        <v>2789.6399322400002</v>
      </c>
      <c r="F10" s="86">
        <f>E10/IncState!E23*1000</f>
        <v>9.2225904351707069</v>
      </c>
      <c r="G10" s="86">
        <f>MAIN!F9/IncState!E19</f>
        <v>11.28590993668556</v>
      </c>
      <c r="H10" s="86">
        <f>MAIN!F6/IncState!E34</f>
        <v>12.932499371800441</v>
      </c>
      <c r="I10" s="86">
        <f>MAIN!F9/IncState!E16</f>
        <v>0.82813478556852704</v>
      </c>
      <c r="J10" s="178"/>
      <c r="K10" s="178"/>
      <c r="L10" s="178"/>
      <c r="M10" s="178"/>
    </row>
    <row r="11" spans="1:13" x14ac:dyDescent="0.25">
      <c r="A11" s="64"/>
      <c r="B11" s="237" t="s">
        <v>182</v>
      </c>
      <c r="C11" s="237"/>
      <c r="D11" s="247"/>
      <c r="E11" s="247"/>
      <c r="F11" s="247">
        <f>(F8-F10)/F8</f>
        <v>0.2800475850764475</v>
      </c>
      <c r="G11" s="247">
        <f t="shared" ref="G11:I11" si="1">(G8-G10)/G8</f>
        <v>0.3537249963938226</v>
      </c>
      <c r="H11" s="247">
        <f t="shared" si="1"/>
        <v>0.54430939493303587</v>
      </c>
      <c r="I11" s="247">
        <f t="shared" si="1"/>
        <v>0.49688044619166039</v>
      </c>
      <c r="J11" s="254">
        <f>AVERAGE(I11)</f>
        <v>0.49688044619166039</v>
      </c>
    </row>
    <row r="12" spans="1:13" x14ac:dyDescent="0.25">
      <c r="A12" s="152"/>
      <c r="B12" s="238"/>
      <c r="C12" s="239"/>
      <c r="D12" s="239"/>
      <c r="E12" s="239"/>
      <c r="F12" s="239"/>
      <c r="G12" s="67"/>
      <c r="H12" s="67"/>
      <c r="I12" s="67"/>
      <c r="J12" s="253"/>
    </row>
    <row r="13" spans="1:13" x14ac:dyDescent="0.25">
      <c r="B13" s="11"/>
      <c r="C13" s="291"/>
      <c r="D13" s="292"/>
      <c r="E13" s="293" t="s">
        <v>247</v>
      </c>
      <c r="F13" s="388">
        <f>F8*IncState!E23</f>
        <v>3874755.9899999998</v>
      </c>
      <c r="G13" s="388">
        <f>G8*IncState!E19</f>
        <v>4316490.5290688472</v>
      </c>
      <c r="H13" s="388">
        <f>H8*IncState!E34</f>
        <v>6336487.7399999993</v>
      </c>
      <c r="I13" s="389">
        <f>I8*IncState!E16</f>
        <v>5544685.9720000001</v>
      </c>
      <c r="J13" s="391">
        <f>AVERAGE(F13:I13)</f>
        <v>5018105.0577672115</v>
      </c>
    </row>
    <row r="14" spans="1:13" x14ac:dyDescent="0.25">
      <c r="A14" s="152"/>
      <c r="D14" s="8"/>
      <c r="E14" s="8" t="s">
        <v>176</v>
      </c>
      <c r="F14" s="243">
        <f>(F13+MAIN!$F$7-MAIN!$F$8)/MAIN!$F$5</f>
        <v>72.53220979262268</v>
      </c>
      <c r="G14" s="243">
        <f>(G13+MAIN!$F$7-MAIN!$F$8)/MAIN!$F$5</f>
        <v>80.597464470307244</v>
      </c>
      <c r="H14" s="243">
        <f>(H13+MAIN!$F$7-MAIN!$F$8)/MAIN!$F$5</f>
        <v>117.47887290333237</v>
      </c>
      <c r="I14" s="390">
        <f>(I13+MAIN!$F$7-MAIN!$F$8)/MAIN!$F$5</f>
        <v>103.0220388812013</v>
      </c>
      <c r="J14" s="392">
        <f>AVERAGE(F14:I14)</f>
        <v>93.407646511865906</v>
      </c>
    </row>
    <row r="15" spans="1:13" x14ac:dyDescent="0.25">
      <c r="A15" s="152"/>
      <c r="B15" s="152"/>
      <c r="C15" s="152"/>
      <c r="D15" s="152"/>
      <c r="E15" s="152"/>
      <c r="F15" s="152"/>
      <c r="J15" s="253"/>
    </row>
    <row r="16" spans="1:13" x14ac:dyDescent="0.25">
      <c r="B16" s="12"/>
      <c r="C16" s="8"/>
      <c r="D16" s="292"/>
      <c r="E16" s="293"/>
      <c r="F16" s="294"/>
      <c r="G16" s="294"/>
      <c r="H16" s="294"/>
      <c r="I16" s="294"/>
      <c r="J16" s="8"/>
    </row>
    <row r="17" spans="1:10" x14ac:dyDescent="0.25">
      <c r="D17" s="8"/>
      <c r="E17" s="8"/>
      <c r="F17" s="8"/>
      <c r="G17" s="8"/>
      <c r="H17" s="8"/>
      <c r="I17" s="8"/>
      <c r="J17" s="12"/>
    </row>
    <row r="18" spans="1:10" x14ac:dyDescent="0.25">
      <c r="D18" s="179"/>
    </row>
    <row r="20" spans="1:10" x14ac:dyDescent="0.25">
      <c r="D20" s="295"/>
      <c r="E20" s="295"/>
      <c r="F20" s="295"/>
    </row>
    <row r="21" spans="1:10" x14ac:dyDescent="0.25">
      <c r="C21" s="295"/>
      <c r="E21" s="295"/>
    </row>
    <row r="22" spans="1:10" x14ac:dyDescent="0.25">
      <c r="C22" s="295"/>
      <c r="D22" s="295"/>
      <c r="E22" s="295"/>
    </row>
    <row r="23" spans="1:10" x14ac:dyDescent="0.25">
      <c r="C23" s="295"/>
      <c r="D23" s="295"/>
      <c r="E23" s="295"/>
    </row>
    <row r="24" spans="1:10" x14ac:dyDescent="0.25">
      <c r="C24" s="295"/>
      <c r="D24" s="295"/>
      <c r="E24" s="295"/>
    </row>
    <row r="25" spans="1:10" x14ac:dyDescent="0.25">
      <c r="C25" s="295"/>
      <c r="D25" s="295"/>
      <c r="E25" s="295"/>
      <c r="G25" s="295"/>
    </row>
    <row r="26" spans="1:10" x14ac:dyDescent="0.25">
      <c r="C26" s="295"/>
      <c r="D26" s="295"/>
    </row>
    <row r="28" spans="1:10" x14ac:dyDescent="0.25">
      <c r="A28" s="32"/>
      <c r="D28" s="295"/>
    </row>
    <row r="29" spans="1:10" x14ac:dyDescent="0.25">
      <c r="C29" s="296"/>
      <c r="D29" s="296"/>
    </row>
    <row r="30" spans="1:10" x14ac:dyDescent="0.25">
      <c r="C30" s="296"/>
      <c r="D30" s="296"/>
    </row>
    <row r="31" spans="1:10" x14ac:dyDescent="0.25">
      <c r="C31" s="296"/>
      <c r="D31" s="296"/>
    </row>
    <row r="32" spans="1:10" x14ac:dyDescent="0.25">
      <c r="C32" s="296"/>
      <c r="D32" s="296"/>
    </row>
    <row r="33" spans="2:5" x14ac:dyDescent="0.25">
      <c r="C33" s="296"/>
      <c r="D33" s="296"/>
    </row>
    <row r="34" spans="2:5" x14ac:dyDescent="0.25">
      <c r="C34" s="296"/>
      <c r="D34" s="296"/>
      <c r="E34" s="296"/>
    </row>
    <row r="36" spans="2:5" x14ac:dyDescent="0.25">
      <c r="B36" s="1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D903-117B-4DF0-8D7B-7A5309212F7B}">
  <dimension ref="A1:R52"/>
  <sheetViews>
    <sheetView showGridLines="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48" sqref="E48"/>
    </sheetView>
  </sheetViews>
  <sheetFormatPr defaultColWidth="11.7109375" defaultRowHeight="15" x14ac:dyDescent="0.25"/>
  <cols>
    <col min="1" max="1" width="1.7109375" style="4" customWidth="1"/>
    <col min="2" max="2" width="20.7109375" style="4" customWidth="1"/>
    <col min="3" max="4" width="11.7109375" style="4"/>
    <col min="5" max="8" width="9.7109375" style="4" customWidth="1"/>
    <col min="9" max="16384" width="11.7109375" style="4"/>
  </cols>
  <sheetData>
    <row r="1" spans="1:18" ht="19.5" x14ac:dyDescent="0.3">
      <c r="A1" s="299" t="str">
        <f>CoName</f>
        <v>Columbia Sportswear Co.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8" s="47" customFormat="1" x14ac:dyDescent="0.25">
      <c r="A2" s="354" t="s">
        <v>202</v>
      </c>
      <c r="B2" s="354"/>
      <c r="C2" s="355">
        <v>2022</v>
      </c>
      <c r="D2" s="355">
        <v>2023</v>
      </c>
      <c r="E2" s="355" t="s">
        <v>212</v>
      </c>
      <c r="F2" s="355" t="s">
        <v>213</v>
      </c>
      <c r="G2" s="355" t="s">
        <v>214</v>
      </c>
      <c r="H2" s="355" t="s">
        <v>215</v>
      </c>
      <c r="I2" s="355">
        <v>2024</v>
      </c>
      <c r="J2" s="355" t="s">
        <v>216</v>
      </c>
      <c r="K2" s="355" t="s">
        <v>217</v>
      </c>
      <c r="L2" s="355" t="s">
        <v>218</v>
      </c>
      <c r="M2" s="355" t="s">
        <v>219</v>
      </c>
      <c r="N2" s="355">
        <v>2025</v>
      </c>
      <c r="O2" s="355">
        <f>N2+1</f>
        <v>2026</v>
      </c>
      <c r="P2" s="355">
        <f t="shared" ref="P2:R2" si="0">O2+1</f>
        <v>2027</v>
      </c>
      <c r="Q2" s="355">
        <f t="shared" si="0"/>
        <v>2028</v>
      </c>
      <c r="R2" s="355">
        <f t="shared" si="0"/>
        <v>2029</v>
      </c>
    </row>
    <row r="3" spans="1:18" s="295" customFormat="1" x14ac:dyDescent="0.25">
      <c r="A3" s="295" t="s">
        <v>124</v>
      </c>
      <c r="B3" s="295" t="s">
        <v>203</v>
      </c>
      <c r="C3" s="295">
        <v>1829389</v>
      </c>
      <c r="D3" s="357">
        <v>1783205</v>
      </c>
      <c r="E3" s="295">
        <v>397488</v>
      </c>
      <c r="F3" s="204">
        <v>292353</v>
      </c>
      <c r="G3" s="295">
        <v>472324</v>
      </c>
      <c r="H3" s="357">
        <v>564911</v>
      </c>
      <c r="I3" s="364">
        <f>SUM(E3:H3)</f>
        <v>1727076</v>
      </c>
      <c r="J3" s="295">
        <v>393633</v>
      </c>
      <c r="K3" s="295">
        <v>291406</v>
      </c>
      <c r="L3" s="295">
        <f>G3*(1+L5)</f>
        <v>458154.27999999997</v>
      </c>
      <c r="M3" s="295">
        <f>H3*(1+M5)</f>
        <v>547963.67000000004</v>
      </c>
      <c r="N3" s="368">
        <f>SUM(J3:M3)</f>
        <v>1691156.9500000002</v>
      </c>
      <c r="O3" s="362">
        <f>N3*(1+O5)</f>
        <v>1708068.5195000002</v>
      </c>
      <c r="P3" s="362">
        <f t="shared" ref="P3:R3" si="1">O3*(1+P5)</f>
        <v>1725149.2046950001</v>
      </c>
      <c r="Q3" s="362">
        <f t="shared" si="1"/>
        <v>1742400.69674195</v>
      </c>
      <c r="R3" s="357">
        <f t="shared" si="1"/>
        <v>1759824.7037093695</v>
      </c>
    </row>
    <row r="4" spans="1:18" s="201" customFormat="1" x14ac:dyDescent="0.25">
      <c r="B4" s="201" t="s">
        <v>205</v>
      </c>
      <c r="D4" s="372"/>
      <c r="F4" s="201">
        <f>F3/E3-1</f>
        <v>-0.2644985508996498</v>
      </c>
      <c r="G4" s="201">
        <f t="shared" ref="G4:H4" si="2">G3/F3-1</f>
        <v>0.6155948459567715</v>
      </c>
      <c r="H4" s="201">
        <f t="shared" si="2"/>
        <v>0.19602433922476936</v>
      </c>
      <c r="I4" s="373"/>
      <c r="K4" s="201">
        <f>K3/J3-1</f>
        <v>-0.25970129536903663</v>
      </c>
      <c r="L4" s="201">
        <f t="shared" ref="L4:M4" si="3">L3/K3-1</f>
        <v>0.57221978957193742</v>
      </c>
      <c r="M4" s="201">
        <f t="shared" si="3"/>
        <v>0.19602433922476958</v>
      </c>
      <c r="N4" s="374"/>
      <c r="O4" s="375"/>
      <c r="R4" s="372"/>
    </row>
    <row r="5" spans="1:18" s="201" customFormat="1" x14ac:dyDescent="0.25">
      <c r="B5" s="201" t="s">
        <v>206</v>
      </c>
      <c r="D5" s="372">
        <f>D3/C3-1</f>
        <v>-2.5245587461168784E-2</v>
      </c>
      <c r="H5" s="372"/>
      <c r="I5" s="373">
        <f>I3/D3-1</f>
        <v>-3.1476470736679141E-2</v>
      </c>
      <c r="J5" s="201">
        <f>J3/E3-1</f>
        <v>-9.6984059896148E-3</v>
      </c>
      <c r="K5" s="201">
        <f t="shared" ref="K5" si="4">K3/F3-1</f>
        <v>-3.2392347607173022E-3</v>
      </c>
      <c r="L5" s="376">
        <v>-0.03</v>
      </c>
      <c r="M5" s="376">
        <v>-0.03</v>
      </c>
      <c r="N5" s="377">
        <f>N3/I3-1</f>
        <v>-2.0797608211798324E-2</v>
      </c>
      <c r="O5" s="378">
        <v>0.01</v>
      </c>
      <c r="P5" s="378">
        <f t="shared" ref="P5:R5" si="5">O5</f>
        <v>0.01</v>
      </c>
      <c r="Q5" s="378">
        <f t="shared" si="5"/>
        <v>0.01</v>
      </c>
      <c r="R5" s="379">
        <f t="shared" si="5"/>
        <v>0.01</v>
      </c>
    </row>
    <row r="6" spans="1:18" s="295" customFormat="1" x14ac:dyDescent="0.25">
      <c r="B6" s="295" t="s">
        <v>204</v>
      </c>
      <c r="C6" s="295">
        <v>472857</v>
      </c>
      <c r="D6" s="357">
        <v>458232</v>
      </c>
      <c r="E6" s="295">
        <v>76918</v>
      </c>
      <c r="F6" s="204">
        <v>47875</v>
      </c>
      <c r="G6" s="295">
        <v>98982</v>
      </c>
      <c r="H6" s="357">
        <v>117377</v>
      </c>
      <c r="I6" s="364">
        <f>SUM(E6:H6)</f>
        <v>341152</v>
      </c>
      <c r="J6" s="295">
        <v>77548</v>
      </c>
      <c r="K6" s="295">
        <v>43711</v>
      </c>
      <c r="L6" s="295">
        <f>G6*(1+L8)</f>
        <v>96012.54</v>
      </c>
      <c r="M6" s="295">
        <f>H6*(1+M8)</f>
        <v>113855.69</v>
      </c>
      <c r="N6" s="368">
        <f>SUM(J6:M6)</f>
        <v>331127.23</v>
      </c>
      <c r="O6" s="362">
        <f>N6*(1+O8)</f>
        <v>334438.50229999999</v>
      </c>
      <c r="P6" s="362">
        <f t="shared" ref="P6:R6" si="6">O6*(1+P8)</f>
        <v>337782.887323</v>
      </c>
      <c r="Q6" s="362">
        <f t="shared" si="6"/>
        <v>341160.71619623003</v>
      </c>
      <c r="R6" s="357">
        <f t="shared" si="6"/>
        <v>344572.32335819234</v>
      </c>
    </row>
    <row r="7" spans="1:18" s="201" customFormat="1" x14ac:dyDescent="0.25">
      <c r="B7" s="201" t="s">
        <v>205</v>
      </c>
      <c r="D7" s="372"/>
      <c r="F7" s="201">
        <f>F6/E6-1</f>
        <v>-0.37758392053875556</v>
      </c>
      <c r="G7" s="201">
        <f t="shared" ref="G7" si="7">G6/F6-1</f>
        <v>1.067509138381201</v>
      </c>
      <c r="H7" s="201">
        <f t="shared" ref="H7" si="8">H6/G6-1</f>
        <v>0.18584187023903342</v>
      </c>
      <c r="I7" s="373"/>
      <c r="K7" s="201">
        <f>K6/J6-1</f>
        <v>-0.43633620467323464</v>
      </c>
      <c r="L7" s="201">
        <f t="shared" ref="L7" si="9">L6/K6-1</f>
        <v>1.1965303928073023</v>
      </c>
      <c r="M7" s="201">
        <f t="shared" ref="M7" si="10">M6/L6-1</f>
        <v>0.18584187023903342</v>
      </c>
      <c r="N7" s="374"/>
      <c r="O7" s="375"/>
      <c r="R7" s="372"/>
    </row>
    <row r="8" spans="1:18" s="201" customFormat="1" x14ac:dyDescent="0.25">
      <c r="B8" s="201" t="s">
        <v>206</v>
      </c>
      <c r="D8" s="372">
        <f>D6/C6-1</f>
        <v>-3.0929012365260578E-2</v>
      </c>
      <c r="H8" s="372"/>
      <c r="I8" s="373">
        <f>I6/D6-1</f>
        <v>-0.25550376228635274</v>
      </c>
      <c r="J8" s="201">
        <f>J6/E6-1</f>
        <v>8.1905405756779182E-3</v>
      </c>
      <c r="K8" s="201">
        <f t="shared" ref="K8" si="11">K6/F6-1</f>
        <v>-8.6976501305483067E-2</v>
      </c>
      <c r="L8" s="376">
        <f>L5</f>
        <v>-0.03</v>
      </c>
      <c r="M8" s="376">
        <f>M5</f>
        <v>-0.03</v>
      </c>
      <c r="N8" s="377">
        <f>N6/I6-1</f>
        <v>-2.9385054169402514E-2</v>
      </c>
      <c r="O8" s="378">
        <v>0.01</v>
      </c>
      <c r="P8" s="378">
        <f t="shared" ref="P8:R8" si="12">O8</f>
        <v>0.01</v>
      </c>
      <c r="Q8" s="378">
        <f t="shared" si="12"/>
        <v>0.01</v>
      </c>
      <c r="R8" s="379">
        <f t="shared" si="12"/>
        <v>0.01</v>
      </c>
    </row>
    <row r="9" spans="1:18" s="356" customFormat="1" x14ac:dyDescent="0.25">
      <c r="B9" s="356" t="s">
        <v>209</v>
      </c>
      <c r="C9" s="356">
        <f>SUM(C6,C3)</f>
        <v>2302246</v>
      </c>
      <c r="D9" s="358">
        <f t="shared" ref="D9:R9" si="13">SUM(D6,D3)</f>
        <v>2241437</v>
      </c>
      <c r="E9" s="356">
        <f t="shared" si="13"/>
        <v>474406</v>
      </c>
      <c r="F9" s="356">
        <f t="shared" si="13"/>
        <v>340228</v>
      </c>
      <c r="G9" s="356">
        <f t="shared" si="13"/>
        <v>571306</v>
      </c>
      <c r="H9" s="358">
        <f t="shared" si="13"/>
        <v>682288</v>
      </c>
      <c r="I9" s="365">
        <f t="shared" si="13"/>
        <v>2068228</v>
      </c>
      <c r="J9" s="356">
        <f t="shared" si="13"/>
        <v>471181</v>
      </c>
      <c r="K9" s="356">
        <f t="shared" si="13"/>
        <v>335117</v>
      </c>
      <c r="L9" s="356">
        <f t="shared" si="13"/>
        <v>554166.81999999995</v>
      </c>
      <c r="M9" s="358">
        <f t="shared" si="13"/>
        <v>661819.3600000001</v>
      </c>
      <c r="N9" s="370">
        <f t="shared" ref="N9" si="14">SUM(N6,N3)</f>
        <v>2022284.1800000002</v>
      </c>
      <c r="O9" s="371">
        <f t="shared" si="13"/>
        <v>2042507.0218000002</v>
      </c>
      <c r="P9" s="356">
        <f t="shared" si="13"/>
        <v>2062932.0920180001</v>
      </c>
      <c r="Q9" s="356">
        <f t="shared" si="13"/>
        <v>2083561.4129381799</v>
      </c>
      <c r="R9" s="358">
        <f t="shared" si="13"/>
        <v>2104397.0270675616</v>
      </c>
    </row>
    <row r="10" spans="1:18" s="201" customFormat="1" x14ac:dyDescent="0.25">
      <c r="B10" s="201" t="s">
        <v>205</v>
      </c>
      <c r="D10" s="372"/>
      <c r="F10" s="201">
        <f>F9/E9-1</f>
        <v>-0.28283369097355426</v>
      </c>
      <c r="G10" s="201">
        <f t="shared" ref="G10" si="15">G9/F9-1</f>
        <v>0.67918572251548959</v>
      </c>
      <c r="H10" s="201">
        <f t="shared" ref="H10" si="16">H9/G9-1</f>
        <v>0.19426016880620889</v>
      </c>
      <c r="I10" s="373"/>
      <c r="K10" s="201">
        <f>K9/J9-1</f>
        <v>-0.28877225524798322</v>
      </c>
      <c r="L10" s="201">
        <f t="shared" ref="L10" si="17">L9/K9-1</f>
        <v>0.65365176938203651</v>
      </c>
      <c r="M10" s="201">
        <f t="shared" ref="M10" si="18">M9/L9-1</f>
        <v>0.19426016880620933</v>
      </c>
      <c r="N10" s="374"/>
      <c r="O10" s="375"/>
      <c r="R10" s="372"/>
    </row>
    <row r="11" spans="1:18" s="201" customFormat="1" x14ac:dyDescent="0.25">
      <c r="B11" s="201" t="s">
        <v>206</v>
      </c>
      <c r="D11" s="372">
        <f>D9/C9-1</f>
        <v>-2.6412902878319655E-2</v>
      </c>
      <c r="H11" s="372"/>
      <c r="I11" s="373">
        <f>I9/D9-1</f>
        <v>-7.727587257638735E-2</v>
      </c>
      <c r="J11" s="201">
        <f>J9/E9-1</f>
        <v>-6.7979747305051408E-3</v>
      </c>
      <c r="K11" s="201">
        <f t="shared" ref="K11" si="19">K9/F9-1</f>
        <v>-1.502227917749277E-2</v>
      </c>
      <c r="L11" s="376">
        <v>0.02</v>
      </c>
      <c r="M11" s="376">
        <v>0.01</v>
      </c>
      <c r="N11" s="377">
        <f>N9/I9-1</f>
        <v>-2.2214098252223535E-2</v>
      </c>
      <c r="O11" s="378">
        <f>O9/N9-1</f>
        <v>1.0000000000000009E-2</v>
      </c>
      <c r="P11" s="378">
        <f t="shared" ref="P11:R11" si="20">P9/O9-1</f>
        <v>1.0000000000000009E-2</v>
      </c>
      <c r="Q11" s="378">
        <f t="shared" si="20"/>
        <v>1.0000000000000009E-2</v>
      </c>
      <c r="R11" s="379">
        <f t="shared" si="20"/>
        <v>1.0000000000000009E-2</v>
      </c>
    </row>
    <row r="12" spans="1:18" x14ac:dyDescent="0.25">
      <c r="D12" s="29"/>
      <c r="H12" s="29"/>
      <c r="I12" s="164"/>
      <c r="M12" s="29"/>
      <c r="N12" s="369"/>
      <c r="O12" s="361"/>
      <c r="R12" s="29"/>
    </row>
    <row r="13" spans="1:18" s="204" customFormat="1" x14ac:dyDescent="0.25">
      <c r="A13" s="204" t="s">
        <v>124</v>
      </c>
      <c r="B13" s="204" t="s">
        <v>203</v>
      </c>
      <c r="C13" s="204">
        <v>354000</v>
      </c>
      <c r="D13" s="360">
        <v>392690</v>
      </c>
      <c r="E13" s="204">
        <v>107963</v>
      </c>
      <c r="F13" s="204">
        <v>73538</v>
      </c>
      <c r="G13" s="204">
        <v>109251</v>
      </c>
      <c r="H13" s="360">
        <v>146573</v>
      </c>
      <c r="I13" s="364">
        <f>SUM(E13:H13)</f>
        <v>437325</v>
      </c>
      <c r="J13" s="204">
        <v>120292</v>
      </c>
      <c r="K13" s="204">
        <v>84945</v>
      </c>
      <c r="L13" s="295">
        <f>G13*(1+L15)</f>
        <v>111436.02</v>
      </c>
      <c r="M13" s="295">
        <f>H13*(1+M15)</f>
        <v>149504.46</v>
      </c>
      <c r="N13" s="368">
        <f>SUM(J13:M13)</f>
        <v>466177.48</v>
      </c>
      <c r="O13" s="362">
        <f>N13*(1+O15)</f>
        <v>496933.49993517488</v>
      </c>
      <c r="P13" s="362">
        <f t="shared" ref="P13:R13" si="21">O13*(1+P15)</f>
        <v>529718.64569224254</v>
      </c>
      <c r="Q13" s="362">
        <f t="shared" si="21"/>
        <v>564666.78867620754</v>
      </c>
      <c r="R13" s="357">
        <f t="shared" si="21"/>
        <v>601920.63244673167</v>
      </c>
    </row>
    <row r="14" spans="1:18" s="201" customFormat="1" x14ac:dyDescent="0.25">
      <c r="B14" s="201" t="s">
        <v>205</v>
      </c>
      <c r="D14" s="372"/>
      <c r="F14" s="201">
        <f>F13/E13-1</f>
        <v>-0.31885923881329714</v>
      </c>
      <c r="G14" s="201">
        <f t="shared" ref="G14" si="22">G13/F13-1</f>
        <v>0.4856400772389784</v>
      </c>
      <c r="H14" s="201">
        <f t="shared" ref="H14" si="23">H13/G13-1</f>
        <v>0.34161701037061443</v>
      </c>
      <c r="I14" s="373"/>
      <c r="K14" s="201">
        <f>K13/J13-1</f>
        <v>-0.29384331460113722</v>
      </c>
      <c r="L14" s="201">
        <f t="shared" ref="L14" si="24">L13/K13-1</f>
        <v>0.31186085113897222</v>
      </c>
      <c r="M14" s="201">
        <f t="shared" ref="M14" si="25">M13/L13-1</f>
        <v>0.34161701037061443</v>
      </c>
      <c r="N14" s="374"/>
      <c r="O14" s="375"/>
      <c r="R14" s="372"/>
    </row>
    <row r="15" spans="1:18" s="201" customFormat="1" x14ac:dyDescent="0.25">
      <c r="B15" s="201" t="s">
        <v>206</v>
      </c>
      <c r="D15" s="372">
        <f>D13/C13-1</f>
        <v>0.10929378531073453</v>
      </c>
      <c r="H15" s="372"/>
      <c r="I15" s="373">
        <f>I13/D13-1</f>
        <v>0.11366472280934059</v>
      </c>
      <c r="J15" s="201">
        <f>J13/E13-1</f>
        <v>0.11419653029278543</v>
      </c>
      <c r="K15" s="201">
        <f t="shared" ref="K15" si="26">K13/F13-1</f>
        <v>0.15511708232478449</v>
      </c>
      <c r="L15" s="376">
        <v>0.02</v>
      </c>
      <c r="M15" s="376">
        <v>0.02</v>
      </c>
      <c r="N15" s="377">
        <f>N13/I13-1</f>
        <v>6.59749156805578E-2</v>
      </c>
      <c r="O15" s="378">
        <f>N15</f>
        <v>6.59749156805578E-2</v>
      </c>
      <c r="P15" s="378">
        <f t="shared" ref="P15:R15" si="27">O15</f>
        <v>6.59749156805578E-2</v>
      </c>
      <c r="Q15" s="378">
        <f t="shared" si="27"/>
        <v>6.59749156805578E-2</v>
      </c>
      <c r="R15" s="379">
        <f t="shared" si="27"/>
        <v>6.59749156805578E-2</v>
      </c>
    </row>
    <row r="16" spans="1:18" s="204" customFormat="1" x14ac:dyDescent="0.25">
      <c r="B16" s="204" t="s">
        <v>204</v>
      </c>
      <c r="C16" s="204">
        <v>119866</v>
      </c>
      <c r="D16" s="360">
        <v>127046</v>
      </c>
      <c r="E16" s="204">
        <v>30683</v>
      </c>
      <c r="F16" s="204">
        <v>25946</v>
      </c>
      <c r="G16" s="204">
        <v>25734</v>
      </c>
      <c r="H16" s="360">
        <v>41018</v>
      </c>
      <c r="I16" s="364">
        <f>SUM(E16:H16)</f>
        <v>123381</v>
      </c>
      <c r="J16" s="204">
        <v>31918</v>
      </c>
      <c r="K16" s="204">
        <v>27388</v>
      </c>
      <c r="L16" s="295">
        <f>G16*(1+L18)</f>
        <v>26248.68</v>
      </c>
      <c r="M16" s="295">
        <f>H16*(1+M18)</f>
        <v>41838.36</v>
      </c>
      <c r="N16" s="368">
        <f>SUM(J16:M16)</f>
        <v>127393.04</v>
      </c>
      <c r="O16" s="362">
        <f>N16*(1+O18)</f>
        <v>131535.54145647708</v>
      </c>
      <c r="P16" s="362">
        <f t="shared" ref="P16:R16" si="28">O16*(1+P18)</f>
        <v>135812.74664807905</v>
      </c>
      <c r="Q16" s="362">
        <f t="shared" si="28"/>
        <v>140229.03580169231</v>
      </c>
      <c r="R16" s="357">
        <f t="shared" si="28"/>
        <v>144788.93157817185</v>
      </c>
    </row>
    <row r="17" spans="1:18" s="201" customFormat="1" x14ac:dyDescent="0.25">
      <c r="B17" s="201" t="s">
        <v>205</v>
      </c>
      <c r="D17" s="372"/>
      <c r="F17" s="201">
        <f>F16/E16-1</f>
        <v>-0.15438516442329631</v>
      </c>
      <c r="G17" s="201">
        <f t="shared" ref="G17" si="29">G16/F16-1</f>
        <v>-8.1708163107993004E-3</v>
      </c>
      <c r="H17" s="201">
        <f t="shared" ref="H17" si="30">H16/G16-1</f>
        <v>0.59392243724255844</v>
      </c>
      <c r="I17" s="373"/>
      <c r="K17" s="201">
        <f>K16/J16-1</f>
        <v>-0.14192618585124384</v>
      </c>
      <c r="L17" s="201">
        <f t="shared" ref="L17" si="31">L16/K16-1</f>
        <v>-4.1599240543303662E-2</v>
      </c>
      <c r="M17" s="201">
        <f t="shared" ref="M17" si="32">M16/L16-1</f>
        <v>0.59392243724255844</v>
      </c>
      <c r="N17" s="374"/>
      <c r="O17" s="375"/>
      <c r="R17" s="372"/>
    </row>
    <row r="18" spans="1:18" s="201" customFormat="1" x14ac:dyDescent="0.25">
      <c r="B18" s="201" t="s">
        <v>206</v>
      </c>
      <c r="D18" s="372">
        <f>D16/C16-1</f>
        <v>5.9900221914471086E-2</v>
      </c>
      <c r="H18" s="372"/>
      <c r="I18" s="373">
        <f>I16/D16-1</f>
        <v>-2.8847818900240907E-2</v>
      </c>
      <c r="J18" s="201">
        <f>J16/E16-1</f>
        <v>4.0250301469869409E-2</v>
      </c>
      <c r="K18" s="201">
        <f t="shared" ref="K18" si="33">K16/F16-1</f>
        <v>5.5576967547984246E-2</v>
      </c>
      <c r="L18" s="376">
        <f>L15</f>
        <v>0.02</v>
      </c>
      <c r="M18" s="376">
        <f>M15</f>
        <v>0.02</v>
      </c>
      <c r="N18" s="377">
        <f>N16/I16-1</f>
        <v>3.2517486484953118E-2</v>
      </c>
      <c r="O18" s="378">
        <f>N18</f>
        <v>3.2517486484953118E-2</v>
      </c>
      <c r="P18" s="378">
        <f t="shared" ref="P18:R18" si="34">O18</f>
        <v>3.2517486484953118E-2</v>
      </c>
      <c r="Q18" s="378">
        <f t="shared" si="34"/>
        <v>3.2517486484953118E-2</v>
      </c>
      <c r="R18" s="379">
        <f t="shared" si="34"/>
        <v>3.2517486484953118E-2</v>
      </c>
    </row>
    <row r="19" spans="1:18" s="11" customFormat="1" x14ac:dyDescent="0.25">
      <c r="B19" s="11" t="s">
        <v>208</v>
      </c>
      <c r="C19" s="356">
        <f>SUM(C16,C13)</f>
        <v>473866</v>
      </c>
      <c r="D19" s="358">
        <f t="shared" ref="D19:R19" si="35">SUM(D16,D13)</f>
        <v>519736</v>
      </c>
      <c r="E19" s="356">
        <f t="shared" si="35"/>
        <v>138646</v>
      </c>
      <c r="F19" s="356">
        <f t="shared" si="35"/>
        <v>99484</v>
      </c>
      <c r="G19" s="356">
        <f t="shared" si="35"/>
        <v>134985</v>
      </c>
      <c r="H19" s="358">
        <f t="shared" si="35"/>
        <v>187591</v>
      </c>
      <c r="I19" s="365">
        <f t="shared" si="35"/>
        <v>560706</v>
      </c>
      <c r="J19" s="356">
        <f t="shared" si="35"/>
        <v>152210</v>
      </c>
      <c r="K19" s="356">
        <f t="shared" si="35"/>
        <v>112333</v>
      </c>
      <c r="L19" s="356">
        <f t="shared" si="35"/>
        <v>137684.70000000001</v>
      </c>
      <c r="M19" s="358">
        <f t="shared" si="35"/>
        <v>191342.82</v>
      </c>
      <c r="N19" s="370">
        <f t="shared" ref="N19" si="36">SUM(N16,N13)</f>
        <v>593570.52</v>
      </c>
      <c r="O19" s="371">
        <f t="shared" si="35"/>
        <v>628469.04139165196</v>
      </c>
      <c r="P19" s="356">
        <f t="shared" si="35"/>
        <v>665531.39234032156</v>
      </c>
      <c r="Q19" s="356">
        <f t="shared" si="35"/>
        <v>704895.82447789982</v>
      </c>
      <c r="R19" s="358">
        <f t="shared" si="35"/>
        <v>746709.56402490358</v>
      </c>
    </row>
    <row r="20" spans="1:18" s="201" customFormat="1" x14ac:dyDescent="0.25">
      <c r="B20" s="201" t="s">
        <v>205</v>
      </c>
      <c r="D20" s="372"/>
      <c r="F20" s="201">
        <f>F19/E19-1</f>
        <v>-0.28246036668926622</v>
      </c>
      <c r="G20" s="201">
        <f t="shared" ref="G20" si="37">G19/F19-1</f>
        <v>0.35685135298138393</v>
      </c>
      <c r="H20" s="201">
        <f t="shared" ref="H20" si="38">H19/G19-1</f>
        <v>0.38971737600474121</v>
      </c>
      <c r="I20" s="373"/>
      <c r="K20" s="201">
        <f>K19/J19-1</f>
        <v>-0.26198672886144148</v>
      </c>
      <c r="L20" s="201">
        <f t="shared" ref="L20" si="39">L19/K19-1</f>
        <v>0.22568345900136211</v>
      </c>
      <c r="M20" s="201">
        <f t="shared" ref="M20" si="40">M19/L19-1</f>
        <v>0.38971737600474121</v>
      </c>
      <c r="N20" s="374"/>
      <c r="O20" s="375"/>
      <c r="R20" s="372"/>
    </row>
    <row r="21" spans="1:18" s="201" customFormat="1" x14ac:dyDescent="0.25">
      <c r="B21" s="201" t="s">
        <v>206</v>
      </c>
      <c r="D21" s="372">
        <f>D19/C19-1</f>
        <v>9.6799517163079773E-2</v>
      </c>
      <c r="H21" s="372"/>
      <c r="I21" s="373">
        <f>I19/D19-1</f>
        <v>7.8828482152477397E-2</v>
      </c>
      <c r="J21" s="201">
        <f>J19/E19-1</f>
        <v>9.78318884064453E-2</v>
      </c>
      <c r="K21" s="201">
        <f t="shared" ref="K21" si="41">K19/F19-1</f>
        <v>0.12915644726790232</v>
      </c>
      <c r="L21" s="376">
        <v>0.02</v>
      </c>
      <c r="M21" s="376">
        <v>0.01</v>
      </c>
      <c r="N21" s="377">
        <f>N19/I19-1</f>
        <v>5.8612748927245217E-2</v>
      </c>
      <c r="O21" s="378">
        <f>O19/N19-1</f>
        <v>5.8794229524154806E-2</v>
      </c>
      <c r="P21" s="378">
        <f t="shared" ref="P21:R21" si="42">P19/O19-1</f>
        <v>5.8972436998011135E-2</v>
      </c>
      <c r="Q21" s="378">
        <f t="shared" si="42"/>
        <v>5.9147370943922528E-2</v>
      </c>
      <c r="R21" s="379">
        <f t="shared" si="42"/>
        <v>5.9319034238817014E-2</v>
      </c>
    </row>
    <row r="22" spans="1:18" x14ac:dyDescent="0.25">
      <c r="D22" s="29"/>
      <c r="H22" s="29"/>
      <c r="I22" s="164"/>
      <c r="M22" s="29"/>
      <c r="N22" s="369"/>
      <c r="O22" s="361"/>
      <c r="R22" s="29"/>
    </row>
    <row r="23" spans="1:18" s="204" customFormat="1" x14ac:dyDescent="0.25">
      <c r="A23" s="204" t="s">
        <v>124</v>
      </c>
      <c r="B23" s="204" t="s">
        <v>203</v>
      </c>
      <c r="C23" s="204">
        <v>303731</v>
      </c>
      <c r="D23" s="360">
        <v>319468</v>
      </c>
      <c r="E23" s="204">
        <v>72390</v>
      </c>
      <c r="F23" s="204">
        <v>76742</v>
      </c>
      <c r="G23" s="204">
        <v>93027</v>
      </c>
      <c r="H23" s="360">
        <v>113194</v>
      </c>
      <c r="I23" s="364">
        <f>SUM(E23:H23)</f>
        <v>355353</v>
      </c>
      <c r="J23" s="204">
        <v>76983</v>
      </c>
      <c r="K23" s="204">
        <v>96435</v>
      </c>
      <c r="L23" s="295">
        <f>G23*(1+L25)</f>
        <v>93957.27</v>
      </c>
      <c r="M23" s="295">
        <f>H23*(1+M25)</f>
        <v>114325.94</v>
      </c>
      <c r="N23" s="368">
        <f>SUM(J23:M23)</f>
        <v>381701.21</v>
      </c>
      <c r="O23" s="362">
        <f>N23*(1+O25)</f>
        <v>410003.04968711146</v>
      </c>
      <c r="P23" s="362">
        <f t="shared" ref="P23:R23" si="43">O23*(1+P25)</f>
        <v>440403.37402318418</v>
      </c>
      <c r="Q23" s="362">
        <f t="shared" si="43"/>
        <v>473057.77847023093</v>
      </c>
      <c r="R23" s="357">
        <f t="shared" si="43"/>
        <v>508133.39536179265</v>
      </c>
    </row>
    <row r="24" spans="1:18" s="201" customFormat="1" x14ac:dyDescent="0.25">
      <c r="B24" s="201" t="s">
        <v>205</v>
      </c>
      <c r="D24" s="372"/>
      <c r="F24" s="201">
        <f>F23/E23-1</f>
        <v>6.0118800939356287E-2</v>
      </c>
      <c r="G24" s="201">
        <f t="shared" ref="G24" si="44">G23/F23-1</f>
        <v>0.21220452946235446</v>
      </c>
      <c r="H24" s="201">
        <f t="shared" ref="H24" si="45">H23/G23-1</f>
        <v>0.2167865243423952</v>
      </c>
      <c r="I24" s="373"/>
      <c r="K24" s="201">
        <f>K23/J23-1</f>
        <v>0.25267916293207593</v>
      </c>
      <c r="L24" s="201">
        <f t="shared" ref="L24" si="46">L23/K23-1</f>
        <v>-2.5693264893451473E-2</v>
      </c>
      <c r="M24" s="201">
        <f t="shared" ref="M24" si="47">M23/L23-1</f>
        <v>0.2167865243423952</v>
      </c>
      <c r="N24" s="374"/>
      <c r="O24" s="375"/>
      <c r="R24" s="372"/>
    </row>
    <row r="25" spans="1:18" s="201" customFormat="1" x14ac:dyDescent="0.25">
      <c r="B25" s="201" t="s">
        <v>206</v>
      </c>
      <c r="D25" s="372">
        <f>D23/C23-1</f>
        <v>5.1812294431585748E-2</v>
      </c>
      <c r="H25" s="372"/>
      <c r="I25" s="373">
        <f>I23/D23-1</f>
        <v>0.11232736925138043</v>
      </c>
      <c r="J25" s="201">
        <f>J23/E23-1</f>
        <v>6.3447990053874914E-2</v>
      </c>
      <c r="K25" s="201">
        <f t="shared" ref="K25" si="48">K23/F23-1</f>
        <v>0.2566130671600948</v>
      </c>
      <c r="L25" s="376">
        <v>0.01</v>
      </c>
      <c r="M25" s="376">
        <v>0.01</v>
      </c>
      <c r="N25" s="377">
        <f>N23/I23-1</f>
        <v>7.414658100536653E-2</v>
      </c>
      <c r="O25" s="378">
        <f>N25</f>
        <v>7.414658100536653E-2</v>
      </c>
      <c r="P25" s="378">
        <f t="shared" ref="P25:R25" si="49">O25</f>
        <v>7.414658100536653E-2</v>
      </c>
      <c r="Q25" s="378">
        <f t="shared" si="49"/>
        <v>7.414658100536653E-2</v>
      </c>
      <c r="R25" s="379">
        <f t="shared" si="49"/>
        <v>7.414658100536653E-2</v>
      </c>
    </row>
    <row r="26" spans="1:18" s="204" customFormat="1" x14ac:dyDescent="0.25">
      <c r="B26" s="204" t="s">
        <v>204</v>
      </c>
      <c r="C26" s="204">
        <v>134823</v>
      </c>
      <c r="D26" s="360">
        <v>149769</v>
      </c>
      <c r="E26" s="204">
        <v>32130</v>
      </c>
      <c r="F26" s="204">
        <v>27180</v>
      </c>
      <c r="G26" s="204">
        <v>48758</v>
      </c>
      <c r="H26" s="360">
        <v>48357</v>
      </c>
      <c r="I26" s="364">
        <f>SUM(E26:H26)</f>
        <v>156425</v>
      </c>
      <c r="J26" s="204">
        <v>30947</v>
      </c>
      <c r="K26" s="204">
        <v>34127</v>
      </c>
      <c r="L26" s="295">
        <f>G26*(1+L28)</f>
        <v>49245.58</v>
      </c>
      <c r="M26" s="295">
        <f>H26*(1+M28)</f>
        <v>48840.57</v>
      </c>
      <c r="N26" s="368">
        <f>SUM(J26:M26)</f>
        <v>163160.15</v>
      </c>
      <c r="O26" s="362">
        <f>N26*(1+O28)</f>
        <v>170185.29357853602</v>
      </c>
      <c r="P26" s="362">
        <f t="shared" ref="P26:R26" si="50">O26*(1+P28)</f>
        <v>177512.9169126928</v>
      </c>
      <c r="Q26" s="362">
        <f t="shared" si="50"/>
        <v>185156.04379359115</v>
      </c>
      <c r="R26" s="357">
        <f t="shared" si="50"/>
        <v>193128.25877429373</v>
      </c>
    </row>
    <row r="27" spans="1:18" s="201" customFormat="1" x14ac:dyDescent="0.25">
      <c r="B27" s="201" t="s">
        <v>205</v>
      </c>
      <c r="D27" s="372"/>
      <c r="F27" s="201">
        <f>F26/E26-1</f>
        <v>-0.15406162464985995</v>
      </c>
      <c r="G27" s="201">
        <f t="shared" ref="G27" si="51">G26/F26-1</f>
        <v>0.7938925680647535</v>
      </c>
      <c r="H27" s="201">
        <f t="shared" ref="H27" si="52">H26/G26-1</f>
        <v>-8.2242913983345822E-3</v>
      </c>
      <c r="I27" s="373"/>
      <c r="K27" s="201">
        <f>K26/J26-1</f>
        <v>0.10275632533040358</v>
      </c>
      <c r="L27" s="201">
        <f t="shared" ref="L27" si="53">L26/K26-1</f>
        <v>0.44300934743751297</v>
      </c>
      <c r="M27" s="201">
        <f t="shared" ref="M27" si="54">M26/L26-1</f>
        <v>-8.2242913983346932E-3</v>
      </c>
      <c r="N27" s="374"/>
      <c r="O27" s="375"/>
      <c r="R27" s="372"/>
    </row>
    <row r="28" spans="1:18" s="201" customFormat="1" x14ac:dyDescent="0.25">
      <c r="B28" s="201" t="s">
        <v>206</v>
      </c>
      <c r="D28" s="372">
        <f>D26/C26-1</f>
        <v>0.1108564562426293</v>
      </c>
      <c r="H28" s="372"/>
      <c r="I28" s="373">
        <f>I26/D26-1</f>
        <v>4.4441773664777084E-2</v>
      </c>
      <c r="J28" s="201">
        <f>J26/E26-1</f>
        <v>-3.6819172113289778E-2</v>
      </c>
      <c r="K28" s="201">
        <f t="shared" ref="K28" si="55">K26/F26-1</f>
        <v>0.25559234731420166</v>
      </c>
      <c r="L28" s="376">
        <f>L25</f>
        <v>0.01</v>
      </c>
      <c r="M28" s="376">
        <f>M25</f>
        <v>0.01</v>
      </c>
      <c r="N28" s="377">
        <f>N26/I26-1</f>
        <v>4.3056736455170164E-2</v>
      </c>
      <c r="O28" s="378">
        <f>N28</f>
        <v>4.3056736455170164E-2</v>
      </c>
      <c r="P28" s="378">
        <f t="shared" ref="P28:R28" si="56">O28</f>
        <v>4.3056736455170164E-2</v>
      </c>
      <c r="Q28" s="378">
        <f t="shared" si="56"/>
        <v>4.3056736455170164E-2</v>
      </c>
      <c r="R28" s="379">
        <f t="shared" si="56"/>
        <v>4.3056736455170164E-2</v>
      </c>
    </row>
    <row r="29" spans="1:18" s="11" customFormat="1" x14ac:dyDescent="0.25">
      <c r="B29" s="11" t="s">
        <v>210</v>
      </c>
      <c r="C29" s="356">
        <f>SUM(C26,C23)</f>
        <v>438554</v>
      </c>
      <c r="D29" s="358">
        <f t="shared" ref="D29:R29" si="57">SUM(D26,D23)</f>
        <v>469237</v>
      </c>
      <c r="E29" s="356">
        <f t="shared" si="57"/>
        <v>104520</v>
      </c>
      <c r="F29" s="356">
        <f t="shared" si="57"/>
        <v>103922</v>
      </c>
      <c r="G29" s="356">
        <f t="shared" si="57"/>
        <v>141785</v>
      </c>
      <c r="H29" s="358">
        <f t="shared" si="57"/>
        <v>161551</v>
      </c>
      <c r="I29" s="365">
        <f t="shared" si="57"/>
        <v>511778</v>
      </c>
      <c r="J29" s="356">
        <f t="shared" si="57"/>
        <v>107930</v>
      </c>
      <c r="K29" s="356">
        <f t="shared" si="57"/>
        <v>130562</v>
      </c>
      <c r="L29" s="356">
        <f t="shared" si="57"/>
        <v>143202.85</v>
      </c>
      <c r="M29" s="358">
        <f t="shared" si="57"/>
        <v>163166.51</v>
      </c>
      <c r="N29" s="370">
        <f t="shared" ref="N29" si="58">SUM(N26,N23)</f>
        <v>544861.36</v>
      </c>
      <c r="O29" s="371">
        <f t="shared" si="57"/>
        <v>580188.34326564753</v>
      </c>
      <c r="P29" s="356">
        <f t="shared" si="57"/>
        <v>617916.29093587701</v>
      </c>
      <c r="Q29" s="356">
        <f t="shared" si="57"/>
        <v>658213.82226382208</v>
      </c>
      <c r="R29" s="358">
        <f t="shared" si="57"/>
        <v>701261.65413608635</v>
      </c>
    </row>
    <row r="30" spans="1:18" s="201" customFormat="1" x14ac:dyDescent="0.25">
      <c r="B30" s="201" t="s">
        <v>205</v>
      </c>
      <c r="D30" s="372"/>
      <c r="F30" s="201">
        <f>F29/E29-1</f>
        <v>-5.7213930348258835E-3</v>
      </c>
      <c r="G30" s="201">
        <f t="shared" ref="G30" si="59">G29/F29-1</f>
        <v>0.36434056311464369</v>
      </c>
      <c r="H30" s="201">
        <f t="shared" ref="H30" si="60">H29/G29-1</f>
        <v>0.13940825898367248</v>
      </c>
      <c r="I30" s="373"/>
      <c r="K30" s="201">
        <f>K29/J29-1</f>
        <v>0.20969146669137406</v>
      </c>
      <c r="L30" s="201">
        <f t="shared" ref="L30" si="61">L29/K29-1</f>
        <v>9.6818752776458794E-2</v>
      </c>
      <c r="M30" s="201">
        <f t="shared" ref="M30" si="62">M29/L29-1</f>
        <v>0.13940825898367248</v>
      </c>
      <c r="N30" s="374"/>
      <c r="O30" s="375"/>
      <c r="R30" s="372"/>
    </row>
    <row r="31" spans="1:18" s="201" customFormat="1" x14ac:dyDescent="0.25">
      <c r="B31" s="201" t="s">
        <v>206</v>
      </c>
      <c r="D31" s="372">
        <f>D29/C29-1</f>
        <v>6.9964018114074822E-2</v>
      </c>
      <c r="H31" s="372"/>
      <c r="I31" s="373">
        <f>I29/D29-1</f>
        <v>9.0659943695829526E-2</v>
      </c>
      <c r="J31" s="201">
        <f>J29/E29-1</f>
        <v>3.2625334864140765E-2</v>
      </c>
      <c r="K31" s="201">
        <f t="shared" ref="K31" si="63">K29/F29-1</f>
        <v>0.25634610573314598</v>
      </c>
      <c r="L31" s="376">
        <v>0.02</v>
      </c>
      <c r="M31" s="376">
        <v>0.01</v>
      </c>
      <c r="N31" s="377">
        <f>N29/I29-1</f>
        <v>6.464396671994499E-2</v>
      </c>
      <c r="O31" s="378">
        <f>O29/N29-1</f>
        <v>6.4836646272085741E-2</v>
      </c>
      <c r="P31" s="378">
        <f t="shared" ref="P31:R31" si="64">P29/O29-1</f>
        <v>6.5027069413139182E-2</v>
      </c>
      <c r="Q31" s="378">
        <f t="shared" si="64"/>
        <v>6.5215194871965032E-2</v>
      </c>
      <c r="R31" s="379">
        <f t="shared" si="64"/>
        <v>6.5400984324832434E-2</v>
      </c>
    </row>
    <row r="32" spans="1:18" x14ac:dyDescent="0.25">
      <c r="D32" s="29"/>
      <c r="H32" s="29"/>
      <c r="I32" s="164"/>
      <c r="M32" s="29"/>
      <c r="N32" s="369"/>
      <c r="O32" s="361"/>
      <c r="R32" s="29"/>
    </row>
    <row r="33" spans="1:18" s="204" customFormat="1" x14ac:dyDescent="0.25">
      <c r="A33" s="204" t="s">
        <v>124</v>
      </c>
      <c r="B33" s="204" t="s">
        <v>203</v>
      </c>
      <c r="C33" s="204">
        <v>173911</v>
      </c>
      <c r="D33" s="360">
        <v>181234</v>
      </c>
      <c r="E33" s="204">
        <v>41213</v>
      </c>
      <c r="F33" s="204">
        <v>21307</v>
      </c>
      <c r="G33" s="204">
        <v>60754</v>
      </c>
      <c r="H33" s="360">
        <v>44146</v>
      </c>
      <c r="I33" s="364">
        <f>SUM(E33:H33)</f>
        <v>167420</v>
      </c>
      <c r="J33" s="204">
        <v>37912</v>
      </c>
      <c r="K33" s="204">
        <v>21516</v>
      </c>
      <c r="L33" s="295">
        <f>G33*(1+L35)</f>
        <v>61361.54</v>
      </c>
      <c r="M33" s="295">
        <f>H33*(1+M35)</f>
        <v>44587.46</v>
      </c>
      <c r="N33" s="368">
        <f>SUM(J33:M33)</f>
        <v>165377</v>
      </c>
      <c r="O33" s="362">
        <f>N33*(1+O35)</f>
        <v>163358.93040855334</v>
      </c>
      <c r="P33" s="362">
        <f t="shared" ref="P33:R33" si="65">O33*(1+P35)</f>
        <v>161365.48700379478</v>
      </c>
      <c r="Q33" s="362">
        <f t="shared" si="65"/>
        <v>159396.36927623086</v>
      </c>
      <c r="R33" s="357">
        <f t="shared" si="65"/>
        <v>157451.28038343825</v>
      </c>
    </row>
    <row r="34" spans="1:18" s="201" customFormat="1" x14ac:dyDescent="0.25">
      <c r="B34" s="201" t="s">
        <v>205</v>
      </c>
      <c r="D34" s="372"/>
      <c r="F34" s="201">
        <f>F33/E33-1</f>
        <v>-0.48300293596680655</v>
      </c>
      <c r="G34" s="201">
        <f t="shared" ref="G34" si="66">G33/F33-1</f>
        <v>1.851363401698972</v>
      </c>
      <c r="H34" s="201">
        <f t="shared" ref="H34" si="67">H33/G33-1</f>
        <v>-0.27336471672647067</v>
      </c>
      <c r="I34" s="373"/>
      <c r="K34" s="201">
        <f>K33/J33-1</f>
        <v>-0.43247520573960752</v>
      </c>
      <c r="L34" s="201">
        <f t="shared" ref="L34" si="68">L33/K33-1</f>
        <v>1.8519027700316046</v>
      </c>
      <c r="M34" s="201">
        <f t="shared" ref="M34" si="69">M33/L33-1</f>
        <v>-0.27336471672647067</v>
      </c>
      <c r="N34" s="374"/>
      <c r="O34" s="375"/>
      <c r="R34" s="372"/>
    </row>
    <row r="35" spans="1:18" s="201" customFormat="1" x14ac:dyDescent="0.25">
      <c r="B35" s="201" t="s">
        <v>206</v>
      </c>
      <c r="D35" s="372">
        <f>D33/C33-1</f>
        <v>4.2107744766000987E-2</v>
      </c>
      <c r="H35" s="372"/>
      <c r="I35" s="373">
        <f>I33/D33-1</f>
        <v>-7.6221900967809564E-2</v>
      </c>
      <c r="J35" s="201">
        <f>J33/E33-1</f>
        <v>-8.0096086186397519E-2</v>
      </c>
      <c r="K35" s="201">
        <f t="shared" ref="K35" si="70">K33/F33-1</f>
        <v>9.8089829633454251E-3</v>
      </c>
      <c r="L35" s="376">
        <v>0.01</v>
      </c>
      <c r="M35" s="376">
        <v>0.01</v>
      </c>
      <c r="N35" s="377">
        <f>N33/I33-1</f>
        <v>-1.2202843148966691E-2</v>
      </c>
      <c r="O35" s="378">
        <f>N35</f>
        <v>-1.2202843148966691E-2</v>
      </c>
      <c r="P35" s="378">
        <f t="shared" ref="P35:R35" si="71">O35</f>
        <v>-1.2202843148966691E-2</v>
      </c>
      <c r="Q35" s="378">
        <f t="shared" si="71"/>
        <v>-1.2202843148966691E-2</v>
      </c>
      <c r="R35" s="379">
        <f t="shared" si="71"/>
        <v>-1.2202843148966691E-2</v>
      </c>
    </row>
    <row r="36" spans="1:18" s="204" customFormat="1" x14ac:dyDescent="0.25">
      <c r="B36" s="204" t="s">
        <v>204</v>
      </c>
      <c r="C36" s="204">
        <v>75575</v>
      </c>
      <c r="D36" s="360">
        <v>75541</v>
      </c>
      <c r="E36" s="204">
        <v>11197</v>
      </c>
      <c r="F36" s="204">
        <v>5303</v>
      </c>
      <c r="G36" s="204">
        <v>22938</v>
      </c>
      <c r="H36" s="360">
        <v>21012</v>
      </c>
      <c r="I36" s="364">
        <f>SUM(E36:H36)</f>
        <v>60450</v>
      </c>
      <c r="J36" s="204">
        <v>9669</v>
      </c>
      <c r="K36" s="204">
        <v>5718</v>
      </c>
      <c r="L36" s="295">
        <f>G36*(1+L38)</f>
        <v>23167.38</v>
      </c>
      <c r="M36" s="295">
        <f>H36*(1+M38)</f>
        <v>21222.12</v>
      </c>
      <c r="N36" s="368">
        <f>SUM(J36:M36)</f>
        <v>59776.5</v>
      </c>
      <c r="O36" s="362">
        <f>N36*(1+O38)</f>
        <v>59110.503759305211</v>
      </c>
      <c r="P36" s="362">
        <f t="shared" ref="P36:R36" si="72">O36*(1+P38)</f>
        <v>58451.927675237515</v>
      </c>
      <c r="Q36" s="362">
        <f t="shared" si="72"/>
        <v>57800.689076572955</v>
      </c>
      <c r="R36" s="357">
        <f t="shared" si="72"/>
        <v>57156.70621316399</v>
      </c>
    </row>
    <row r="37" spans="1:18" s="201" customFormat="1" x14ac:dyDescent="0.25">
      <c r="B37" s="201" t="s">
        <v>205</v>
      </c>
      <c r="D37" s="372"/>
      <c r="F37" s="201">
        <f>F36/E36-1</f>
        <v>-0.52639099758863983</v>
      </c>
      <c r="G37" s="201">
        <f t="shared" ref="G37" si="73">G36/F36-1</f>
        <v>3.3254761455779747</v>
      </c>
      <c r="H37" s="201">
        <f t="shared" ref="H37" si="74">H36/G36-1</f>
        <v>-8.396547214229666E-2</v>
      </c>
      <c r="I37" s="373"/>
      <c r="K37" s="201">
        <f>K36/J36-1</f>
        <v>-0.40862550418864407</v>
      </c>
      <c r="L37" s="201">
        <f t="shared" ref="L37" si="75">L36/K36-1</f>
        <v>3.0516579223504721</v>
      </c>
      <c r="M37" s="201">
        <f t="shared" ref="M37" si="76">M36/L36-1</f>
        <v>-8.396547214229666E-2</v>
      </c>
      <c r="N37" s="374"/>
      <c r="O37" s="375"/>
      <c r="R37" s="372"/>
    </row>
    <row r="38" spans="1:18" s="201" customFormat="1" x14ac:dyDescent="0.25">
      <c r="B38" s="201" t="s">
        <v>206</v>
      </c>
      <c r="D38" s="372">
        <f>D36/C36-1</f>
        <v>-4.4988422097258507E-4</v>
      </c>
      <c r="H38" s="372"/>
      <c r="I38" s="373">
        <f>I36/D36-1</f>
        <v>-0.1997723090771899</v>
      </c>
      <c r="J38" s="201">
        <f>J36/E36-1</f>
        <v>-0.13646512458694293</v>
      </c>
      <c r="K38" s="201">
        <f t="shared" ref="K38" si="77">K36/F36-1</f>
        <v>7.8257590043371739E-2</v>
      </c>
      <c r="L38" s="376">
        <f>L35</f>
        <v>0.01</v>
      </c>
      <c r="M38" s="376">
        <f>M35</f>
        <v>0.01</v>
      </c>
      <c r="N38" s="377">
        <f>N36/I36-1</f>
        <v>-1.1141439205955339E-2</v>
      </c>
      <c r="O38" s="378">
        <f>N38</f>
        <v>-1.1141439205955339E-2</v>
      </c>
      <c r="P38" s="378">
        <f t="shared" ref="P38:R38" si="78">O38</f>
        <v>-1.1141439205955339E-2</v>
      </c>
      <c r="Q38" s="378">
        <f t="shared" si="78"/>
        <v>-1.1141439205955339E-2</v>
      </c>
      <c r="R38" s="379">
        <f t="shared" si="78"/>
        <v>-1.1141439205955339E-2</v>
      </c>
    </row>
    <row r="39" spans="1:18" s="11" customFormat="1" x14ac:dyDescent="0.25">
      <c r="B39" s="11" t="s">
        <v>211</v>
      </c>
      <c r="C39" s="356">
        <f>SUM(C36,C33)</f>
        <v>249486</v>
      </c>
      <c r="D39" s="358">
        <f t="shared" ref="D39:R39" si="79">SUM(D36,D33)</f>
        <v>256775</v>
      </c>
      <c r="E39" s="356">
        <f t="shared" si="79"/>
        <v>52410</v>
      </c>
      <c r="F39" s="356">
        <f t="shared" si="79"/>
        <v>26610</v>
      </c>
      <c r="G39" s="356">
        <f t="shared" si="79"/>
        <v>83692</v>
      </c>
      <c r="H39" s="358">
        <f t="shared" si="79"/>
        <v>65158</v>
      </c>
      <c r="I39" s="365">
        <f t="shared" si="79"/>
        <v>227870</v>
      </c>
      <c r="J39" s="356">
        <f t="shared" si="79"/>
        <v>47581</v>
      </c>
      <c r="K39" s="356">
        <f t="shared" si="79"/>
        <v>27234</v>
      </c>
      <c r="L39" s="356">
        <f t="shared" si="79"/>
        <v>84528.92</v>
      </c>
      <c r="M39" s="358">
        <f t="shared" si="79"/>
        <v>65809.58</v>
      </c>
      <c r="N39" s="370">
        <f t="shared" ref="N39" si="80">SUM(N36,N33)</f>
        <v>225153.5</v>
      </c>
      <c r="O39" s="371">
        <f t="shared" si="79"/>
        <v>222469.43416785856</v>
      </c>
      <c r="P39" s="356">
        <f t="shared" si="79"/>
        <v>219817.41467903228</v>
      </c>
      <c r="Q39" s="356">
        <f t="shared" si="79"/>
        <v>217197.05835280381</v>
      </c>
      <c r="R39" s="358">
        <f t="shared" si="79"/>
        <v>214607.98659660225</v>
      </c>
    </row>
    <row r="40" spans="1:18" s="201" customFormat="1" x14ac:dyDescent="0.25">
      <c r="B40" s="201" t="s">
        <v>205</v>
      </c>
      <c r="D40" s="372"/>
      <c r="F40" s="201">
        <f>F39/E39-1</f>
        <v>-0.49227246708643391</v>
      </c>
      <c r="G40" s="201">
        <f t="shared" ref="G40" si="81">G39/F39-1</f>
        <v>2.1451334084930478</v>
      </c>
      <c r="H40" s="201">
        <f t="shared" ref="H40" si="82">H39/G39-1</f>
        <v>-0.22145485828992018</v>
      </c>
      <c r="I40" s="373"/>
      <c r="K40" s="201">
        <f>K39/J39-1</f>
        <v>-0.427628675311574</v>
      </c>
      <c r="L40" s="201">
        <f t="shared" ref="L40" si="83">L39/K39-1</f>
        <v>2.1038011309392672</v>
      </c>
      <c r="M40" s="201">
        <f t="shared" ref="M40" si="84">M39/L39-1</f>
        <v>-0.22145485828992018</v>
      </c>
      <c r="N40" s="374"/>
      <c r="O40" s="375"/>
      <c r="R40" s="372"/>
    </row>
    <row r="41" spans="1:18" s="201" customFormat="1" x14ac:dyDescent="0.25">
      <c r="B41" s="201" t="s">
        <v>206</v>
      </c>
      <c r="D41" s="372">
        <f>D39/C39-1</f>
        <v>2.9216068236293857E-2</v>
      </c>
      <c r="H41" s="372"/>
      <c r="I41" s="373">
        <f>I39/D39-1</f>
        <v>-0.11256937007107393</v>
      </c>
      <c r="J41" s="201">
        <f>J39/E39-1</f>
        <v>-9.2138904789162424E-2</v>
      </c>
      <c r="K41" s="201">
        <f t="shared" ref="K41" si="85">K39/F39-1</f>
        <v>2.3449830890642565E-2</v>
      </c>
      <c r="L41" s="376">
        <v>0.02</v>
      </c>
      <c r="M41" s="376">
        <v>0.01</v>
      </c>
      <c r="N41" s="377">
        <f>N39/I39-1</f>
        <v>-1.1921270900074554E-2</v>
      </c>
      <c r="O41" s="378">
        <f>O39/N39-1</f>
        <v>-1.1921048671868051E-2</v>
      </c>
      <c r="P41" s="378">
        <f t="shared" ref="P41:R41" si="86">P39/O39-1</f>
        <v>-1.1920826331698553E-2</v>
      </c>
      <c r="Q41" s="378">
        <f t="shared" si="86"/>
        <v>-1.1920603879608915E-2</v>
      </c>
      <c r="R41" s="379">
        <f t="shared" si="86"/>
        <v>-1.1920381315643769E-2</v>
      </c>
    </row>
    <row r="42" spans="1:18" x14ac:dyDescent="0.25">
      <c r="D42" s="29"/>
      <c r="H42" s="29"/>
      <c r="I42" s="164"/>
      <c r="M42" s="29"/>
      <c r="R42" s="29"/>
    </row>
    <row r="43" spans="1:18" s="204" customFormat="1" x14ac:dyDescent="0.25">
      <c r="A43" s="205" t="s">
        <v>124</v>
      </c>
      <c r="B43" s="205" t="s">
        <v>203</v>
      </c>
      <c r="C43" s="205">
        <f>SUM(C33,C23,C13,C3)</f>
        <v>2661031</v>
      </c>
      <c r="D43" s="359">
        <f t="shared" ref="D43:R43" si="87">SUM(D33,D23,D13,D3)</f>
        <v>2676597</v>
      </c>
      <c r="E43" s="205">
        <f t="shared" si="87"/>
        <v>619054</v>
      </c>
      <c r="F43" s="205">
        <f t="shared" si="87"/>
        <v>463940</v>
      </c>
      <c r="G43" s="205">
        <f t="shared" si="87"/>
        <v>735356</v>
      </c>
      <c r="H43" s="359">
        <f t="shared" si="87"/>
        <v>868824</v>
      </c>
      <c r="I43" s="367">
        <f t="shared" si="87"/>
        <v>2687174</v>
      </c>
      <c r="J43" s="205">
        <f t="shared" si="87"/>
        <v>628820</v>
      </c>
      <c r="K43" s="205">
        <f t="shared" si="87"/>
        <v>494302</v>
      </c>
      <c r="L43" s="205">
        <f t="shared" si="87"/>
        <v>724909.11</v>
      </c>
      <c r="M43" s="359">
        <f t="shared" si="87"/>
        <v>856381.53</v>
      </c>
      <c r="N43" s="205">
        <f t="shared" si="87"/>
        <v>2704412.64</v>
      </c>
      <c r="O43" s="205">
        <f t="shared" si="87"/>
        <v>2778363.9995308397</v>
      </c>
      <c r="P43" s="205">
        <f t="shared" si="87"/>
        <v>2856636.7114142217</v>
      </c>
      <c r="Q43" s="205">
        <f t="shared" si="87"/>
        <v>2939521.6331646191</v>
      </c>
      <c r="R43" s="359">
        <f t="shared" si="87"/>
        <v>3027330.0119013321</v>
      </c>
    </row>
    <row r="44" spans="1:18" s="201" customFormat="1" x14ac:dyDescent="0.25">
      <c r="B44" s="201" t="s">
        <v>205</v>
      </c>
      <c r="D44" s="372"/>
      <c r="F44" s="201">
        <f>F43/E43-1</f>
        <v>-0.25056618647161633</v>
      </c>
      <c r="G44" s="201">
        <f t="shared" ref="G44" si="88">G43/F43-1</f>
        <v>0.58502392550760884</v>
      </c>
      <c r="H44" s="201">
        <f t="shared" ref="H44" si="89">H43/G43-1</f>
        <v>0.18150120485859911</v>
      </c>
      <c r="I44" s="373"/>
      <c r="K44" s="201">
        <f>K43/J43-1</f>
        <v>-0.21392131293533923</v>
      </c>
      <c r="L44" s="201">
        <f t="shared" ref="L44" si="90">L43/K43-1</f>
        <v>0.46653080505439992</v>
      </c>
      <c r="M44" s="201">
        <f t="shared" ref="M44" si="91">M43/L43-1</f>
        <v>0.18136400575790801</v>
      </c>
      <c r="N44" s="374"/>
      <c r="O44" s="375"/>
      <c r="R44" s="372"/>
    </row>
    <row r="45" spans="1:18" s="201" customFormat="1" x14ac:dyDescent="0.25">
      <c r="B45" s="201" t="s">
        <v>206</v>
      </c>
      <c r="D45" s="372">
        <f>D43/C43-1</f>
        <v>5.8496124246578685E-3</v>
      </c>
      <c r="H45" s="372"/>
      <c r="I45" s="373">
        <f>I43/D43-1</f>
        <v>3.9516595139275079E-3</v>
      </c>
      <c r="J45" s="201">
        <f>J43/E43-1</f>
        <v>1.5775683542954333E-2</v>
      </c>
      <c r="K45" s="201">
        <f t="shared" ref="K45" si="92">K43/F43-1</f>
        <v>6.5443807388886555E-2</v>
      </c>
      <c r="L45" s="376">
        <f>L43/G43-1</f>
        <v>-1.4206574774667025E-2</v>
      </c>
      <c r="M45" s="376">
        <f>M43/H43-1</f>
        <v>-1.4321047761111538E-2</v>
      </c>
      <c r="N45" s="377">
        <f>N43/I43-1</f>
        <v>6.4151558477418824E-3</v>
      </c>
      <c r="O45" s="378">
        <f>O43/N43-1</f>
        <v>2.7344702667430054E-2</v>
      </c>
      <c r="P45" s="378">
        <f t="shared" ref="P45:R45" si="93">P43/O43-1</f>
        <v>2.8172230815184385E-2</v>
      </c>
      <c r="Q45" s="378">
        <f t="shared" si="93"/>
        <v>2.9014862624713755E-2</v>
      </c>
      <c r="R45" s="379">
        <f t="shared" si="93"/>
        <v>2.987165590007268E-2</v>
      </c>
    </row>
    <row r="46" spans="1:18" s="363" customFormat="1" x14ac:dyDescent="0.25">
      <c r="A46" s="361"/>
      <c r="B46" s="362" t="s">
        <v>204</v>
      </c>
      <c r="C46" s="363">
        <f>SUM(C36,C26,C16,C6)</f>
        <v>803121</v>
      </c>
      <c r="D46" s="360">
        <f t="shared" ref="D46:R46" si="94">SUM(D36,D26,D16,D6)</f>
        <v>810588</v>
      </c>
      <c r="E46" s="363">
        <f t="shared" si="94"/>
        <v>150928</v>
      </c>
      <c r="F46" s="363">
        <f t="shared" si="94"/>
        <v>106304</v>
      </c>
      <c r="G46" s="363">
        <f t="shared" si="94"/>
        <v>196412</v>
      </c>
      <c r="H46" s="360">
        <f t="shared" si="94"/>
        <v>227764</v>
      </c>
      <c r="I46" s="366">
        <f t="shared" si="94"/>
        <v>681408</v>
      </c>
      <c r="J46" s="363">
        <f t="shared" si="94"/>
        <v>150082</v>
      </c>
      <c r="K46" s="363">
        <f t="shared" si="94"/>
        <v>110944</v>
      </c>
      <c r="L46" s="363">
        <f t="shared" si="94"/>
        <v>194674.18</v>
      </c>
      <c r="M46" s="360">
        <f t="shared" si="94"/>
        <v>225756.74</v>
      </c>
      <c r="N46" s="363">
        <f t="shared" si="94"/>
        <v>681456.91999999993</v>
      </c>
      <c r="O46" s="363">
        <f t="shared" si="94"/>
        <v>695269.84109431831</v>
      </c>
      <c r="P46" s="363">
        <f t="shared" si="94"/>
        <v>709560.47855900938</v>
      </c>
      <c r="Q46" s="363">
        <f t="shared" si="94"/>
        <v>724346.48486808641</v>
      </c>
      <c r="R46" s="360">
        <f t="shared" si="94"/>
        <v>739646.21992382198</v>
      </c>
    </row>
    <row r="47" spans="1:18" s="201" customFormat="1" x14ac:dyDescent="0.25">
      <c r="B47" s="201" t="s">
        <v>205</v>
      </c>
      <c r="D47" s="372"/>
      <c r="F47" s="201">
        <f>F46/E46-1</f>
        <v>-0.29566415774408994</v>
      </c>
      <c r="G47" s="201">
        <f t="shared" ref="G47" si="95">G46/F46-1</f>
        <v>0.84764449127031916</v>
      </c>
      <c r="H47" s="201">
        <f t="shared" ref="H47" si="96">H46/G46-1</f>
        <v>0.15962364824959785</v>
      </c>
      <c r="I47" s="373"/>
      <c r="K47" s="201">
        <f>K46/J46-1</f>
        <v>-0.26077744166522299</v>
      </c>
      <c r="L47" s="201">
        <f t="shared" ref="L47" si="97">L46/K46-1</f>
        <v>0.75470669887510811</v>
      </c>
      <c r="M47" s="201">
        <f t="shared" ref="M47" si="98">M46/L46-1</f>
        <v>0.15966452253709251</v>
      </c>
      <c r="N47" s="374"/>
      <c r="O47" s="375"/>
      <c r="R47" s="372"/>
    </row>
    <row r="48" spans="1:18" s="201" customFormat="1" x14ac:dyDescent="0.25">
      <c r="B48" s="201" t="s">
        <v>206</v>
      </c>
      <c r="D48" s="372">
        <f>D46/C46-1</f>
        <v>9.297478213120991E-3</v>
      </c>
      <c r="H48" s="372"/>
      <c r="I48" s="373">
        <f>I46/D46-1</f>
        <v>-0.15936579372011428</v>
      </c>
      <c r="J48" s="201">
        <f>J46/E46-1</f>
        <v>-5.6053217428178037E-3</v>
      </c>
      <c r="K48" s="201">
        <f t="shared" ref="K48" si="99">K46/F46-1</f>
        <v>4.3648404575556965E-2</v>
      </c>
      <c r="L48" s="376">
        <f>L46/G46-1</f>
        <v>-8.8478300714823765E-3</v>
      </c>
      <c r="M48" s="376">
        <f>M46/H46-1</f>
        <v>-8.8128940482253837E-3</v>
      </c>
      <c r="N48" s="377">
        <f>N46/I46-1</f>
        <v>7.1792523715474843E-5</v>
      </c>
      <c r="O48" s="378">
        <f>O46/N46-1</f>
        <v>2.0269690847542376E-2</v>
      </c>
      <c r="P48" s="378">
        <f t="shared" ref="P48:R48" si="100">P46/O46-1</f>
        <v>2.0554087952669331E-2</v>
      </c>
      <c r="Q48" s="378">
        <f t="shared" si="100"/>
        <v>2.0838260804920683E-2</v>
      </c>
      <c r="R48" s="379">
        <f t="shared" si="100"/>
        <v>2.1122122320400116E-2</v>
      </c>
    </row>
    <row r="49" spans="1:18" s="11" customFormat="1" x14ac:dyDescent="0.25">
      <c r="A49" s="11" t="s">
        <v>124</v>
      </c>
      <c r="B49" s="11" t="s">
        <v>207</v>
      </c>
      <c r="C49" s="356">
        <f>SUM(C46,C43)</f>
        <v>3464152</v>
      </c>
      <c r="D49" s="358">
        <f t="shared" ref="D49:R49" si="101">SUM(D46,D43)</f>
        <v>3487185</v>
      </c>
      <c r="E49" s="356">
        <f t="shared" si="101"/>
        <v>769982</v>
      </c>
      <c r="F49" s="356">
        <f t="shared" si="101"/>
        <v>570244</v>
      </c>
      <c r="G49" s="356">
        <f t="shared" si="101"/>
        <v>931768</v>
      </c>
      <c r="H49" s="358">
        <f t="shared" si="101"/>
        <v>1096588</v>
      </c>
      <c r="I49" s="365">
        <f t="shared" si="101"/>
        <v>3368582</v>
      </c>
      <c r="J49" s="356">
        <f t="shared" si="101"/>
        <v>778902</v>
      </c>
      <c r="K49" s="356">
        <f t="shared" si="101"/>
        <v>605246</v>
      </c>
      <c r="L49" s="356">
        <f t="shared" si="101"/>
        <v>919583.29</v>
      </c>
      <c r="M49" s="358">
        <f t="shared" si="101"/>
        <v>1082138.27</v>
      </c>
      <c r="N49" s="356">
        <f t="shared" si="101"/>
        <v>3385869.56</v>
      </c>
      <c r="O49" s="371">
        <f t="shared" si="101"/>
        <v>3473633.840625158</v>
      </c>
      <c r="P49" s="356">
        <f t="shared" si="101"/>
        <v>3566197.1899732309</v>
      </c>
      <c r="Q49" s="356">
        <f t="shared" si="101"/>
        <v>3663868.1180327055</v>
      </c>
      <c r="R49" s="358">
        <f t="shared" si="101"/>
        <v>3766976.2318251543</v>
      </c>
    </row>
    <row r="50" spans="1:18" s="201" customFormat="1" x14ac:dyDescent="0.25">
      <c r="B50" s="201" t="s">
        <v>205</v>
      </c>
      <c r="D50" s="372"/>
      <c r="F50" s="201">
        <f>F49/E49-1</f>
        <v>-0.2594060640378606</v>
      </c>
      <c r="G50" s="201">
        <f t="shared" ref="G50" si="102">G49/F49-1</f>
        <v>0.63398124311698156</v>
      </c>
      <c r="H50" s="201">
        <f t="shared" ref="H50" si="103">H49/G49-1</f>
        <v>0.1768895261481398</v>
      </c>
      <c r="I50" s="373"/>
      <c r="K50" s="201">
        <f>K49/J49-1</f>
        <v>-0.22294974207281537</v>
      </c>
      <c r="L50" s="201">
        <f t="shared" ref="L50" si="104">L49/K49-1</f>
        <v>0.51935459300846265</v>
      </c>
      <c r="M50" s="201">
        <f t="shared" ref="M50" si="105">M49/L49-1</f>
        <v>0.1767702629742216</v>
      </c>
      <c r="N50" s="374"/>
      <c r="O50" s="375"/>
      <c r="R50" s="372"/>
    </row>
    <row r="51" spans="1:18" s="201" customFormat="1" x14ac:dyDescent="0.25">
      <c r="B51" s="201" t="s">
        <v>206</v>
      </c>
      <c r="D51" s="372">
        <f>D49/C49-1</f>
        <v>6.6489576669845896E-3</v>
      </c>
      <c r="H51" s="372"/>
      <c r="I51" s="373">
        <f>I49/D49-1</f>
        <v>-3.4011100644215864E-2</v>
      </c>
      <c r="J51" s="201">
        <f>J49/E49-1</f>
        <v>1.1584686395266441E-2</v>
      </c>
      <c r="K51" s="201">
        <f t="shared" ref="K51:M51" si="106">K49/F49-1</f>
        <v>6.1380742278743794E-2</v>
      </c>
      <c r="L51" s="376">
        <f t="shared" si="106"/>
        <v>-1.3076978389470306E-2</v>
      </c>
      <c r="M51" s="376">
        <f t="shared" si="106"/>
        <v>-1.3176990811498923E-2</v>
      </c>
      <c r="N51" s="377">
        <f>N49/I49-1</f>
        <v>5.1319991616651794E-3</v>
      </c>
      <c r="O51" s="378">
        <f>O49/N49-1</f>
        <v>2.5920750657966174E-2</v>
      </c>
      <c r="P51" s="378">
        <f t="shared" ref="P51:R51" si="107">P49/O49-1</f>
        <v>2.6647411211140781E-2</v>
      </c>
      <c r="Q51" s="378">
        <f t="shared" si="107"/>
        <v>2.7387977404639274E-2</v>
      </c>
      <c r="R51" s="379">
        <f t="shared" si="107"/>
        <v>2.8141873689441654E-2</v>
      </c>
    </row>
    <row r="52" spans="1:18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3EAE-403E-4C0C-9BD0-952BD6AF5DF0}">
  <sheetPr codeName="Sheet6"/>
  <dimension ref="A1:W57"/>
  <sheetViews>
    <sheetView showGridLines="0" zoomScaleNormal="100" workbookViewId="0">
      <selection activeCell="D5" sqref="D5"/>
    </sheetView>
  </sheetViews>
  <sheetFormatPr defaultColWidth="9" defaultRowHeight="15" x14ac:dyDescent="0.25"/>
  <cols>
    <col min="1" max="1" width="2.28515625" style="4" customWidth="1"/>
    <col min="2" max="2" width="36.42578125" style="4" bestFit="1" customWidth="1"/>
    <col min="3" max="10" width="11.7109375" style="4" customWidth="1"/>
    <col min="11" max="13" width="11.7109375" style="310" customWidth="1"/>
    <col min="14" max="14" width="11.42578125" style="4" customWidth="1"/>
    <col min="15" max="15" width="21.42578125" style="4" bestFit="1" customWidth="1"/>
    <col min="16" max="23" width="11.42578125" style="4" customWidth="1"/>
    <col min="24" max="16384" width="9" style="4"/>
  </cols>
  <sheetData>
    <row r="1" spans="1:23" ht="19.5" x14ac:dyDescent="0.3">
      <c r="A1" s="299" t="str">
        <f>CoName</f>
        <v>Columbia Sportswear Co.</v>
      </c>
      <c r="B1" s="3"/>
      <c r="C1" s="42" t="s">
        <v>0</v>
      </c>
      <c r="D1" s="42" t="s">
        <v>0</v>
      </c>
      <c r="E1" s="42" t="s">
        <v>0</v>
      </c>
      <c r="F1" s="42" t="s">
        <v>1</v>
      </c>
      <c r="G1" s="42" t="s">
        <v>1</v>
      </c>
      <c r="H1" s="42" t="s">
        <v>1</v>
      </c>
      <c r="I1" s="42" t="s">
        <v>1</v>
      </c>
      <c r="J1" s="42" t="s">
        <v>1</v>
      </c>
      <c r="K1" s="42"/>
      <c r="L1" s="42"/>
      <c r="M1" s="42"/>
      <c r="N1" s="42"/>
      <c r="O1" s="42"/>
    </row>
    <row r="2" spans="1:23" x14ac:dyDescent="0.25">
      <c r="A2" s="65" t="s">
        <v>124</v>
      </c>
      <c r="B2" s="108" t="s">
        <v>125</v>
      </c>
      <c r="C2" s="109">
        <v>44926</v>
      </c>
      <c r="D2" s="109">
        <v>45291</v>
      </c>
      <c r="E2" s="109">
        <v>45657</v>
      </c>
      <c r="F2" s="109">
        <v>46022</v>
      </c>
      <c r="G2" s="109">
        <v>46387</v>
      </c>
      <c r="H2" s="109">
        <v>46752</v>
      </c>
      <c r="I2" s="109">
        <v>47118</v>
      </c>
      <c r="J2" s="109">
        <v>47483</v>
      </c>
      <c r="K2" s="308"/>
      <c r="L2" s="308"/>
      <c r="M2" s="308"/>
      <c r="N2" s="209"/>
      <c r="O2" s="209"/>
    </row>
    <row r="3" spans="1:23" x14ac:dyDescent="0.25">
      <c r="A3" s="87"/>
      <c r="B3" s="168"/>
      <c r="C3" s="209"/>
      <c r="D3" s="209"/>
      <c r="E3" s="209"/>
      <c r="F3" s="209"/>
      <c r="G3" s="209"/>
      <c r="H3" s="209"/>
      <c r="I3" s="209"/>
      <c r="J3" s="209"/>
      <c r="K3" s="308"/>
      <c r="L3" s="308"/>
      <c r="M3" s="308"/>
      <c r="N3" s="209"/>
      <c r="O3" s="209"/>
    </row>
    <row r="4" spans="1:23" x14ac:dyDescent="0.25">
      <c r="B4" s="95" t="s">
        <v>132</v>
      </c>
      <c r="C4"/>
      <c r="D4" s="304">
        <v>3</v>
      </c>
      <c r="E4"/>
      <c r="F4"/>
      <c r="G4" s="90"/>
      <c r="H4" s="90"/>
      <c r="I4" s="90"/>
      <c r="J4" s="90"/>
      <c r="K4" s="309"/>
      <c r="L4" s="309"/>
      <c r="M4" s="309"/>
      <c r="N4" s="90"/>
      <c r="P4" s="266"/>
      <c r="Q4" s="267"/>
      <c r="R4" s="267"/>
    </row>
    <row r="5" spans="1:23" x14ac:dyDescent="0.25">
      <c r="B5" s="89"/>
      <c r="C5" s="91"/>
      <c r="D5" s="115" t="s">
        <v>126</v>
      </c>
      <c r="E5" s="92"/>
      <c r="N5" s="90"/>
      <c r="P5" s="268"/>
      <c r="Q5" s="269"/>
      <c r="R5" s="269"/>
    </row>
    <row r="6" spans="1:23" x14ac:dyDescent="0.25">
      <c r="B6" s="93" t="s">
        <v>133</v>
      </c>
      <c r="D6" s="102">
        <v>0</v>
      </c>
      <c r="E6" s="94"/>
      <c r="F6" s="102">
        <f>Revenue!N51</f>
        <v>5.1319991616651794E-3</v>
      </c>
      <c r="G6" s="102">
        <f>Revenue!O51</f>
        <v>2.5920750657966174E-2</v>
      </c>
      <c r="H6" s="102">
        <f>Revenue!P51</f>
        <v>2.6647411211140781E-2</v>
      </c>
      <c r="I6" s="102">
        <f>Revenue!Q51</f>
        <v>2.7387977404639274E-2</v>
      </c>
      <c r="J6" s="102">
        <f>Revenue!R51</f>
        <v>2.8141873689441654E-2</v>
      </c>
      <c r="K6" s="180"/>
      <c r="L6" s="180"/>
      <c r="M6" s="180"/>
      <c r="N6" s="180"/>
      <c r="P6" s="180"/>
      <c r="Q6" s="270"/>
      <c r="R6" s="270"/>
      <c r="S6" s="270"/>
      <c r="T6" s="270"/>
      <c r="U6" s="270"/>
      <c r="V6" s="270"/>
      <c r="W6" s="270"/>
    </row>
    <row r="7" spans="1:23" x14ac:dyDescent="0.25">
      <c r="B7" s="4" t="s">
        <v>128</v>
      </c>
      <c r="D7" s="102">
        <v>0.02</v>
      </c>
      <c r="E7" s="94"/>
      <c r="F7" s="102">
        <f>F6+$D$7</f>
        <v>2.513199916166518E-2</v>
      </c>
      <c r="G7" s="102">
        <f t="shared" ref="G7:J7" si="0">G6+$D$7</f>
        <v>4.5920750657966178E-2</v>
      </c>
      <c r="H7" s="102">
        <f t="shared" si="0"/>
        <v>4.6647411211140785E-2</v>
      </c>
      <c r="I7" s="102">
        <f t="shared" si="0"/>
        <v>4.7387977404639278E-2</v>
      </c>
      <c r="J7" s="102">
        <f t="shared" si="0"/>
        <v>4.8141873689441658E-2</v>
      </c>
      <c r="K7" s="180"/>
      <c r="L7" s="180"/>
      <c r="M7" s="180"/>
      <c r="N7" s="180"/>
      <c r="P7" s="180"/>
      <c r="Q7" s="180"/>
      <c r="R7" s="180"/>
      <c r="S7" s="180"/>
      <c r="T7" s="180"/>
      <c r="U7" s="180"/>
      <c r="V7" s="180"/>
      <c r="W7" s="180"/>
    </row>
    <row r="8" spans="1:23" x14ac:dyDescent="0.25">
      <c r="B8" s="4" t="s">
        <v>127</v>
      </c>
      <c r="D8" s="102">
        <v>-0.02</v>
      </c>
      <c r="E8" s="94"/>
      <c r="F8" s="102">
        <f>F6+$D$8</f>
        <v>-1.4868000838334821E-2</v>
      </c>
      <c r="G8" s="102">
        <f t="shared" ref="G8:J8" si="1">G6+$D$8</f>
        <v>5.9207506579661735E-3</v>
      </c>
      <c r="H8" s="102">
        <f t="shared" si="1"/>
        <v>6.6474112111407808E-3</v>
      </c>
      <c r="I8" s="102">
        <f t="shared" si="1"/>
        <v>7.3879774046392739E-3</v>
      </c>
      <c r="J8" s="102">
        <f t="shared" si="1"/>
        <v>8.1418736894416539E-3</v>
      </c>
      <c r="K8" s="180"/>
      <c r="L8" s="180"/>
      <c r="M8" s="180"/>
      <c r="N8" s="180"/>
    </row>
    <row r="9" spans="1:23" x14ac:dyDescent="0.25">
      <c r="N9" s="32"/>
      <c r="O9" s="32"/>
      <c r="P9" s="180"/>
      <c r="Q9" s="180"/>
    </row>
    <row r="10" spans="1:23" x14ac:dyDescent="0.25">
      <c r="B10" s="123" t="s">
        <v>150</v>
      </c>
      <c r="C10" s="201"/>
      <c r="D10" s="201">
        <f>Revenue!D51</f>
        <v>6.6489576669845896E-3</v>
      </c>
      <c r="E10" s="202">
        <f>Revenue!I51</f>
        <v>-3.4011100644215864E-2</v>
      </c>
      <c r="F10" s="106">
        <f t="shared" ref="F10" si="2">CHOOSE(ScenarioREV,F6,F7,F8)</f>
        <v>-1.4868000838334821E-2</v>
      </c>
      <c r="G10" s="106">
        <f t="shared" ref="G10:J10" si="3">CHOOSE(ScenarioREV,G6,G7,G8)</f>
        <v>5.9207506579661735E-3</v>
      </c>
      <c r="H10" s="106">
        <f t="shared" si="3"/>
        <v>6.6474112111407808E-3</v>
      </c>
      <c r="I10" s="106">
        <f t="shared" si="3"/>
        <v>7.3879774046392739E-3</v>
      </c>
      <c r="J10" s="314">
        <f t="shared" si="3"/>
        <v>8.1418736894416539E-3</v>
      </c>
      <c r="K10" s="311"/>
      <c r="L10" s="311"/>
      <c r="M10" s="311"/>
      <c r="N10" s="31"/>
      <c r="O10" s="31"/>
      <c r="P10" s="180"/>
      <c r="Q10" s="180"/>
    </row>
    <row r="11" spans="1:23" x14ac:dyDescent="0.25">
      <c r="B11" s="4" t="s">
        <v>134</v>
      </c>
      <c r="C11" s="8">
        <f>IncState!C5</f>
        <v>0.50606151231239271</v>
      </c>
      <c r="D11" s="8">
        <f>IncState!D5</f>
        <v>0.5039199037165315</v>
      </c>
      <c r="E11" s="8">
        <f>IncState!E5</f>
        <v>0.49798312761868346</v>
      </c>
      <c r="F11" s="102">
        <f>E11</f>
        <v>0.49798312761868346</v>
      </c>
      <c r="G11" s="102">
        <f t="shared" ref="G11:J11" si="4">F11</f>
        <v>0.49798312761868346</v>
      </c>
      <c r="H11" s="102">
        <f t="shared" si="4"/>
        <v>0.49798312761868346</v>
      </c>
      <c r="I11" s="102">
        <f t="shared" si="4"/>
        <v>0.49798312761868346</v>
      </c>
      <c r="J11" s="313">
        <f t="shared" si="4"/>
        <v>0.49798312761868346</v>
      </c>
      <c r="K11" s="180"/>
      <c r="L11" s="180"/>
      <c r="M11" s="180"/>
      <c r="N11" s="180"/>
      <c r="O11" s="180"/>
      <c r="P11" s="180"/>
      <c r="Q11" s="180"/>
    </row>
    <row r="12" spans="1:23" x14ac:dyDescent="0.25">
      <c r="B12" s="4" t="s">
        <v>44</v>
      </c>
      <c r="C12" s="8">
        <f>IncState!C6</f>
        <v>0.37654063678499095</v>
      </c>
      <c r="D12" s="8">
        <f>IncState!D6</f>
        <v>0.40614584238428336</v>
      </c>
      <c r="E12" s="8">
        <f>IncState!E6</f>
        <v>0.42863911283738976</v>
      </c>
      <c r="F12" s="102">
        <v>0.42</v>
      </c>
      <c r="G12" s="102">
        <f t="shared" ref="G12:J12" si="5">F12</f>
        <v>0.42</v>
      </c>
      <c r="H12" s="102">
        <f t="shared" si="5"/>
        <v>0.42</v>
      </c>
      <c r="I12" s="102">
        <f t="shared" si="5"/>
        <v>0.42</v>
      </c>
      <c r="J12" s="313">
        <f t="shared" si="5"/>
        <v>0.42</v>
      </c>
      <c r="K12" s="180"/>
      <c r="L12" s="180"/>
      <c r="M12" s="180"/>
      <c r="N12" s="180"/>
      <c r="O12" s="180"/>
    </row>
    <row r="13" spans="1:23" x14ac:dyDescent="0.25">
      <c r="B13" s="4" t="s">
        <v>136</v>
      </c>
      <c r="C13" s="137">
        <f>IncState!C7</f>
        <v>1700</v>
      </c>
      <c r="D13" s="137">
        <f>IncState!D7</f>
        <v>1700</v>
      </c>
      <c r="E13" s="137">
        <f>IncState!E7</f>
        <v>687</v>
      </c>
      <c r="F13" s="103">
        <v>0</v>
      </c>
      <c r="G13" s="103">
        <f t="shared" ref="G13:J13" si="6">F13</f>
        <v>0</v>
      </c>
      <c r="H13" s="103">
        <f t="shared" si="6"/>
        <v>0</v>
      </c>
      <c r="I13" s="103">
        <f t="shared" si="6"/>
        <v>0</v>
      </c>
      <c r="J13" s="315">
        <f t="shared" si="6"/>
        <v>0</v>
      </c>
      <c r="K13" s="210"/>
      <c r="L13" s="210"/>
      <c r="M13" s="210"/>
      <c r="N13" s="210"/>
      <c r="O13" s="210"/>
    </row>
    <row r="14" spans="1:23" x14ac:dyDescent="0.25">
      <c r="B14" s="4" t="s">
        <v>137</v>
      </c>
      <c r="C14" s="137">
        <f>IncState!C8</f>
        <v>-35600</v>
      </c>
      <c r="D14" s="137">
        <f>IncState!D8</f>
        <v>-25000</v>
      </c>
      <c r="E14" s="137">
        <f>IncState!E8</f>
        <v>0</v>
      </c>
      <c r="F14" s="103">
        <v>0</v>
      </c>
      <c r="G14" s="103">
        <v>0</v>
      </c>
      <c r="H14" s="103">
        <v>0</v>
      </c>
      <c r="I14" s="103">
        <v>0</v>
      </c>
      <c r="J14" s="315">
        <v>0</v>
      </c>
      <c r="K14" s="210"/>
      <c r="L14" s="210"/>
      <c r="M14" s="210"/>
      <c r="N14" s="210"/>
      <c r="O14" s="210"/>
    </row>
    <row r="15" spans="1:23" x14ac:dyDescent="0.25">
      <c r="B15" s="4" t="s">
        <v>139</v>
      </c>
      <c r="C15" s="137">
        <f>IncState!C9</f>
        <v>23613</v>
      </c>
      <c r="D15" s="137">
        <f>IncState!D9</f>
        <v>23886</v>
      </c>
      <c r="E15" s="137">
        <f>IncState!E9</f>
        <v>23305</v>
      </c>
      <c r="F15" s="103">
        <v>0</v>
      </c>
      <c r="G15" s="103">
        <v>0</v>
      </c>
      <c r="H15" s="103">
        <v>0</v>
      </c>
      <c r="I15" s="103">
        <v>0</v>
      </c>
      <c r="J15" s="315">
        <v>0</v>
      </c>
      <c r="K15" s="210"/>
      <c r="L15" s="210"/>
      <c r="M15" s="210"/>
      <c r="N15" s="210"/>
      <c r="O15" s="210"/>
    </row>
    <row r="16" spans="1:23" x14ac:dyDescent="0.25">
      <c r="B16" s="4" t="s">
        <v>47</v>
      </c>
      <c r="C16" s="8">
        <f>IncState!C10</f>
        <v>0.21632570896555195</v>
      </c>
      <c r="D16" s="8">
        <f>IncState!D10</f>
        <v>0.22928827193799969</v>
      </c>
      <c r="E16" s="8">
        <f>IncState!E10</f>
        <v>0.25123160969458763</v>
      </c>
      <c r="F16" s="102">
        <f>E16</f>
        <v>0.25123160969458763</v>
      </c>
      <c r="G16" s="102">
        <f t="shared" ref="G16:J16" si="7">F16</f>
        <v>0.25123160969458763</v>
      </c>
      <c r="H16" s="102">
        <f t="shared" si="7"/>
        <v>0.25123160969458763</v>
      </c>
      <c r="I16" s="102">
        <f t="shared" si="7"/>
        <v>0.25123160969458763</v>
      </c>
      <c r="J16" s="313">
        <f t="shared" si="7"/>
        <v>0.25123160969458763</v>
      </c>
      <c r="K16" s="180"/>
      <c r="L16" s="180"/>
      <c r="M16" s="180"/>
      <c r="N16" s="180"/>
      <c r="O16" s="180"/>
    </row>
    <row r="17" spans="1:15" x14ac:dyDescent="0.25">
      <c r="B17" s="4" t="s">
        <v>140</v>
      </c>
      <c r="C17" s="137">
        <f>IncState!C11</f>
        <v>1.196449628708927</v>
      </c>
      <c r="D17" s="137">
        <f>IncState!D11</f>
        <v>1.199372876927097</v>
      </c>
      <c r="E17" s="137">
        <f>IncState!E11</f>
        <v>1.1954125452145441</v>
      </c>
      <c r="F17" s="103">
        <f>E17</f>
        <v>1.1954125452145441</v>
      </c>
      <c r="G17" s="103">
        <f t="shared" ref="G17:J17" si="8">F17</f>
        <v>1.1954125452145441</v>
      </c>
      <c r="H17" s="103">
        <f t="shared" si="8"/>
        <v>1.1954125452145441</v>
      </c>
      <c r="I17" s="103">
        <f t="shared" si="8"/>
        <v>1.1954125452145441</v>
      </c>
      <c r="J17" s="315">
        <f t="shared" si="8"/>
        <v>1.1954125452145441</v>
      </c>
      <c r="K17" s="180"/>
      <c r="L17" s="180"/>
      <c r="M17" s="180"/>
      <c r="N17" s="180"/>
      <c r="O17" s="180"/>
    </row>
    <row r="18" spans="1:15" x14ac:dyDescent="0.25">
      <c r="B18" s="4" t="s">
        <v>48</v>
      </c>
      <c r="C18" s="137">
        <f>IncState!C12</f>
        <v>62754</v>
      </c>
      <c r="D18" s="137">
        <f>IncState!D12</f>
        <v>61232</v>
      </c>
      <c r="E18" s="137">
        <f>IncState!E12</f>
        <v>58333</v>
      </c>
      <c r="F18" s="103">
        <f>E18-(D18-E18)</f>
        <v>55434</v>
      </c>
      <c r="G18" s="103">
        <f>F18-(E18-F18)</f>
        <v>52535</v>
      </c>
      <c r="H18" s="103">
        <f t="shared" ref="G18:J18" si="9">G18</f>
        <v>52535</v>
      </c>
      <c r="I18" s="103">
        <f t="shared" si="9"/>
        <v>52535</v>
      </c>
      <c r="J18" s="315">
        <f t="shared" si="9"/>
        <v>52535</v>
      </c>
      <c r="K18" s="210"/>
      <c r="L18" s="210"/>
      <c r="M18" s="210"/>
      <c r="N18" s="210"/>
      <c r="O18" s="210"/>
    </row>
    <row r="19" spans="1:15" x14ac:dyDescent="0.25">
      <c r="B19" s="4" t="s">
        <v>49</v>
      </c>
      <c r="C19" s="137">
        <f>IncState!C13</f>
        <v>62970</v>
      </c>
      <c r="D19" s="137">
        <f>IncState!D13</f>
        <v>61424</v>
      </c>
      <c r="E19" s="137">
        <f>IncState!E13</f>
        <v>58502</v>
      </c>
      <c r="F19" s="103">
        <f>E19-(D19-E19)</f>
        <v>55580</v>
      </c>
      <c r="G19" s="103">
        <f>F19-(E19-F19)</f>
        <v>52658</v>
      </c>
      <c r="H19" s="103">
        <f t="shared" ref="G19:J19" si="10">G19</f>
        <v>52658</v>
      </c>
      <c r="I19" s="103">
        <f t="shared" si="10"/>
        <v>52658</v>
      </c>
      <c r="J19" s="315">
        <f t="shared" si="10"/>
        <v>52658</v>
      </c>
      <c r="K19" s="210"/>
      <c r="L19" s="210"/>
      <c r="M19" s="210"/>
      <c r="N19" s="210"/>
      <c r="O19" s="210"/>
    </row>
    <row r="20" spans="1:15" x14ac:dyDescent="0.25">
      <c r="F20" s="105"/>
      <c r="G20" s="105"/>
      <c r="H20" s="105"/>
      <c r="I20" s="105"/>
      <c r="J20" s="105"/>
      <c r="K20" s="180"/>
      <c r="L20" s="180"/>
      <c r="M20" s="180"/>
      <c r="N20" s="180"/>
      <c r="O20" s="180"/>
    </row>
    <row r="21" spans="1:15" x14ac:dyDescent="0.25">
      <c r="A21" s="65" t="s">
        <v>124</v>
      </c>
      <c r="B21" s="108" t="s">
        <v>145</v>
      </c>
      <c r="C21" s="109">
        <v>44926</v>
      </c>
      <c r="D21" s="109">
        <v>45291</v>
      </c>
      <c r="E21" s="109">
        <v>45657</v>
      </c>
      <c r="F21" s="119">
        <v>46022</v>
      </c>
      <c r="G21" s="119">
        <v>46387</v>
      </c>
      <c r="H21" s="119">
        <v>46752</v>
      </c>
      <c r="I21" s="119">
        <v>47118</v>
      </c>
      <c r="J21" s="119">
        <v>47483</v>
      </c>
      <c r="K21" s="211"/>
      <c r="L21" s="211"/>
      <c r="M21" s="211"/>
      <c r="N21" s="211"/>
      <c r="O21" s="211"/>
    </row>
    <row r="22" spans="1:15" x14ac:dyDescent="0.25">
      <c r="A22" s="87"/>
      <c r="B22" s="168"/>
      <c r="C22" s="209"/>
      <c r="D22" s="209"/>
      <c r="E22" s="209"/>
      <c r="F22" s="211"/>
      <c r="G22" s="211"/>
      <c r="H22" s="211"/>
      <c r="I22" s="211"/>
      <c r="J22" s="211"/>
      <c r="K22" s="211"/>
      <c r="L22" s="211"/>
      <c r="M22" s="211"/>
      <c r="N22" s="211"/>
      <c r="O22" s="211"/>
    </row>
    <row r="23" spans="1:15" x14ac:dyDescent="0.25">
      <c r="B23" s="4" t="s">
        <v>138</v>
      </c>
      <c r="C23" s="4">
        <v>0</v>
      </c>
      <c r="D23" s="4">
        <v>0</v>
      </c>
      <c r="E23" s="8">
        <v>0</v>
      </c>
      <c r="F23" s="102">
        <f>E23</f>
        <v>0</v>
      </c>
      <c r="G23" s="102">
        <f t="shared" ref="G23:J23" si="11">F23</f>
        <v>0</v>
      </c>
      <c r="H23" s="102">
        <f t="shared" si="11"/>
        <v>0</v>
      </c>
      <c r="I23" s="102">
        <f t="shared" si="11"/>
        <v>0</v>
      </c>
      <c r="J23" s="313">
        <f t="shared" si="11"/>
        <v>0</v>
      </c>
      <c r="K23" s="180"/>
      <c r="L23" s="180"/>
      <c r="M23" s="180"/>
      <c r="N23" s="180"/>
      <c r="O23" s="180"/>
    </row>
    <row r="24" spans="1:15" x14ac:dyDescent="0.25">
      <c r="B24" s="4" t="s">
        <v>25</v>
      </c>
      <c r="C24" s="4">
        <v>0</v>
      </c>
      <c r="D24" s="4">
        <v>0</v>
      </c>
      <c r="E24" s="8">
        <v>0</v>
      </c>
      <c r="F24" s="102">
        <f>E24</f>
        <v>0</v>
      </c>
      <c r="G24" s="102">
        <f t="shared" ref="G24:J24" si="12">F24</f>
        <v>0</v>
      </c>
      <c r="H24" s="102">
        <f t="shared" si="12"/>
        <v>0</v>
      </c>
      <c r="I24" s="102">
        <f t="shared" si="12"/>
        <v>0</v>
      </c>
      <c r="J24" s="313">
        <f t="shared" si="12"/>
        <v>0</v>
      </c>
      <c r="K24" s="180"/>
      <c r="L24" s="180"/>
      <c r="M24" s="180"/>
      <c r="N24" s="180"/>
      <c r="O24" s="180"/>
    </row>
    <row r="25" spans="1:15" x14ac:dyDescent="0.25">
      <c r="B25" s="4" t="s">
        <v>26</v>
      </c>
      <c r="C25" s="8">
        <f>IncState!C28/BalSheet!C16</f>
        <v>7.9415505345205775E-3</v>
      </c>
      <c r="D25" s="8">
        <f>IncState!D28/BalSheet!D16</f>
        <v>2.0504983794788895E-2</v>
      </c>
      <c r="E25" s="8">
        <f>IncState!E28/BalSheet!E16</f>
        <v>3.866006021644957E-2</v>
      </c>
      <c r="F25" s="132">
        <f>E25</f>
        <v>3.866006021644957E-2</v>
      </c>
      <c r="G25" s="132">
        <f t="shared" ref="G25:J25" si="13">F25</f>
        <v>3.866006021644957E-2</v>
      </c>
      <c r="H25" s="132">
        <f t="shared" si="13"/>
        <v>3.866006021644957E-2</v>
      </c>
      <c r="I25" s="132">
        <f t="shared" si="13"/>
        <v>3.866006021644957E-2</v>
      </c>
      <c r="J25" s="313">
        <f t="shared" si="13"/>
        <v>3.866006021644957E-2</v>
      </c>
      <c r="K25" s="180"/>
      <c r="L25" s="180"/>
      <c r="M25" s="180"/>
      <c r="N25" s="180"/>
      <c r="O25" s="180"/>
    </row>
    <row r="26" spans="1:15" x14ac:dyDescent="0.25">
      <c r="F26" s="105"/>
      <c r="G26" s="105"/>
      <c r="H26" s="105"/>
      <c r="I26" s="105"/>
      <c r="J26" s="105"/>
      <c r="K26" s="180"/>
      <c r="L26" s="180"/>
      <c r="M26" s="180"/>
      <c r="N26" s="180"/>
      <c r="O26" s="180"/>
    </row>
    <row r="27" spans="1:15" x14ac:dyDescent="0.25">
      <c r="B27" s="4" t="s">
        <v>27</v>
      </c>
      <c r="C27" s="4">
        <v>0</v>
      </c>
      <c r="D27" s="4">
        <v>0</v>
      </c>
      <c r="E27" s="4">
        <v>0</v>
      </c>
      <c r="F27" s="103">
        <v>13600</v>
      </c>
      <c r="G27" s="103">
        <v>0</v>
      </c>
      <c r="H27" s="103">
        <v>0</v>
      </c>
      <c r="I27" s="103">
        <v>0</v>
      </c>
      <c r="J27" s="315">
        <v>0</v>
      </c>
      <c r="K27" s="210"/>
      <c r="L27" s="210"/>
      <c r="M27" s="210"/>
      <c r="N27" s="210"/>
      <c r="O27" s="210"/>
    </row>
    <row r="28" spans="1:15" x14ac:dyDescent="0.25">
      <c r="B28" s="4" t="s">
        <v>28</v>
      </c>
      <c r="C28" s="4">
        <v>0</v>
      </c>
      <c r="D28" s="4">
        <v>0</v>
      </c>
      <c r="E28" s="4">
        <v>0</v>
      </c>
      <c r="F28" s="103">
        <v>0</v>
      </c>
      <c r="G28" s="103">
        <v>0</v>
      </c>
      <c r="H28" s="103">
        <v>0</v>
      </c>
      <c r="I28" s="103">
        <v>0</v>
      </c>
      <c r="J28" s="315">
        <v>0</v>
      </c>
      <c r="K28" s="210"/>
      <c r="L28" s="210"/>
      <c r="M28" s="210"/>
      <c r="N28" s="210"/>
      <c r="O28" s="210"/>
    </row>
    <row r="29" spans="1:15" x14ac:dyDescent="0.25">
      <c r="F29" s="105"/>
      <c r="G29" s="105"/>
      <c r="H29" s="105"/>
      <c r="I29" s="105"/>
      <c r="J29" s="105"/>
      <c r="K29" s="180"/>
      <c r="L29" s="180"/>
      <c r="M29" s="180"/>
      <c r="N29" s="180"/>
      <c r="O29" s="180"/>
    </row>
    <row r="30" spans="1:15" x14ac:dyDescent="0.25">
      <c r="A30" s="65" t="s">
        <v>124</v>
      </c>
      <c r="B30" s="108" t="s">
        <v>142</v>
      </c>
      <c r="C30" s="109">
        <v>44926</v>
      </c>
      <c r="D30" s="109">
        <v>45291</v>
      </c>
      <c r="E30" s="109">
        <v>45657</v>
      </c>
      <c r="F30" s="119">
        <v>46022</v>
      </c>
      <c r="G30" s="119">
        <v>46387</v>
      </c>
      <c r="H30" s="119">
        <v>46752</v>
      </c>
      <c r="I30" s="119">
        <v>47118</v>
      </c>
      <c r="J30" s="119">
        <v>47483</v>
      </c>
      <c r="K30" s="212"/>
      <c r="L30" s="212"/>
      <c r="M30" s="212"/>
      <c r="N30" s="212"/>
      <c r="O30" s="212"/>
    </row>
    <row r="31" spans="1:15" x14ac:dyDescent="0.25">
      <c r="A31" s="87"/>
      <c r="B31" s="168"/>
      <c r="C31" s="209"/>
      <c r="D31" s="209"/>
      <c r="E31" s="209"/>
      <c r="F31" s="211"/>
      <c r="G31" s="211"/>
      <c r="H31" s="211"/>
      <c r="I31" s="211"/>
      <c r="J31" s="211"/>
      <c r="K31" s="212"/>
      <c r="L31" s="212"/>
      <c r="M31" s="212"/>
      <c r="N31" s="212"/>
      <c r="O31" s="212"/>
    </row>
    <row r="32" spans="1:15" x14ac:dyDescent="0.25">
      <c r="B32" s="4" t="s">
        <v>143</v>
      </c>
      <c r="C32" s="8">
        <f>58467/IncState!C16</f>
        <v>1.6877723610280379E-2</v>
      </c>
      <c r="D32" s="8">
        <f>54607/IncState!D16</f>
        <v>1.5659254709289937E-2</v>
      </c>
      <c r="E32" s="8">
        <f>59805/IncState!E16</f>
        <v>1.7753761078103485E-2</v>
      </c>
      <c r="F32" s="353">
        <f>80000/Revenue!N49</f>
        <v>2.3627608383117983E-2</v>
      </c>
      <c r="G32" s="353">
        <f>F32</f>
        <v>2.3627608383117983E-2</v>
      </c>
      <c r="H32" s="353">
        <f t="shared" ref="H32:J32" si="14">G32</f>
        <v>2.3627608383117983E-2</v>
      </c>
      <c r="I32" s="353">
        <f t="shared" si="14"/>
        <v>2.3627608383117983E-2</v>
      </c>
      <c r="J32" s="353">
        <f t="shared" si="14"/>
        <v>2.3627608383117983E-2</v>
      </c>
      <c r="K32" s="180"/>
      <c r="L32" s="180"/>
      <c r="M32" s="180"/>
      <c r="N32" s="180"/>
      <c r="O32" s="180"/>
    </row>
    <row r="33" spans="1:15" x14ac:dyDescent="0.25">
      <c r="B33" s="4" t="s">
        <v>156</v>
      </c>
      <c r="D33" s="8">
        <f>IncState!D21/BalSheet!C22</f>
        <v>0.19367200752711064</v>
      </c>
      <c r="E33" s="8">
        <f>IncState!E21/BalSheet!D22</f>
        <v>0.19249445664697631</v>
      </c>
      <c r="F33" s="102">
        <f>E33</f>
        <v>0.19249445664697631</v>
      </c>
      <c r="G33" s="102">
        <f t="shared" ref="G33:J33" si="15">F33</f>
        <v>0.19249445664697631</v>
      </c>
      <c r="H33" s="102">
        <f t="shared" si="15"/>
        <v>0.19249445664697631</v>
      </c>
      <c r="I33" s="102">
        <f t="shared" si="15"/>
        <v>0.19249445664697631</v>
      </c>
      <c r="J33" s="313">
        <f t="shared" si="15"/>
        <v>0.19249445664697631</v>
      </c>
      <c r="K33" s="180"/>
      <c r="L33" s="180"/>
      <c r="M33" s="180"/>
      <c r="N33" s="180"/>
      <c r="O33" s="180"/>
    </row>
    <row r="34" spans="1:15" x14ac:dyDescent="0.25">
      <c r="B34" s="4" t="s">
        <v>144</v>
      </c>
      <c r="C34" s="4">
        <v>-317756</v>
      </c>
      <c r="D34" s="4">
        <v>-184022</v>
      </c>
      <c r="E34" s="4">
        <v>-287443</v>
      </c>
      <c r="F34" s="107">
        <f>-627600/2</f>
        <v>-313800</v>
      </c>
      <c r="G34" s="107">
        <f>-627600/2</f>
        <v>-313800</v>
      </c>
      <c r="H34" s="107">
        <v>0</v>
      </c>
      <c r="I34" s="107">
        <v>0</v>
      </c>
      <c r="J34" s="316">
        <v>0</v>
      </c>
      <c r="K34" s="213"/>
      <c r="L34" s="213"/>
      <c r="M34" s="213"/>
      <c r="N34" s="213"/>
      <c r="O34" s="213"/>
    </row>
    <row r="35" spans="1:15" x14ac:dyDescent="0.25">
      <c r="F35" s="32"/>
      <c r="G35" s="32"/>
      <c r="H35" s="32"/>
      <c r="I35" s="32"/>
      <c r="J35" s="32"/>
      <c r="K35" s="312"/>
      <c r="L35" s="312"/>
      <c r="M35" s="312"/>
      <c r="N35" s="32"/>
      <c r="O35" s="32"/>
    </row>
    <row r="36" spans="1:15" x14ac:dyDescent="0.25">
      <c r="A36" s="65" t="s">
        <v>124</v>
      </c>
      <c r="B36" s="108" t="s">
        <v>60</v>
      </c>
      <c r="C36" s="109">
        <v>44926</v>
      </c>
      <c r="D36" s="109">
        <v>45291</v>
      </c>
      <c r="E36" s="109">
        <v>45657</v>
      </c>
      <c r="F36" s="118">
        <v>46022</v>
      </c>
      <c r="G36" s="118">
        <v>46387</v>
      </c>
      <c r="H36" s="118">
        <v>46752</v>
      </c>
      <c r="I36" s="118">
        <v>47118</v>
      </c>
      <c r="J36" s="118">
        <v>47483</v>
      </c>
      <c r="K36" s="212"/>
      <c r="L36" s="212"/>
      <c r="M36" s="212"/>
      <c r="N36" s="212"/>
      <c r="O36" s="212"/>
    </row>
    <row r="37" spans="1:15" x14ac:dyDescent="0.25">
      <c r="A37" s="87"/>
      <c r="B37" s="168"/>
      <c r="C37" s="209"/>
      <c r="D37" s="209"/>
      <c r="E37" s="209"/>
      <c r="F37" s="305"/>
      <c r="G37" s="305"/>
      <c r="H37" s="305"/>
      <c r="I37" s="305"/>
      <c r="J37" s="305"/>
      <c r="K37" s="212"/>
      <c r="L37" s="212"/>
      <c r="M37" s="212"/>
      <c r="N37" s="212"/>
      <c r="O37" s="212"/>
    </row>
    <row r="38" spans="1:15" x14ac:dyDescent="0.25">
      <c r="B38" s="4" t="s">
        <v>129</v>
      </c>
      <c r="C38" s="137">
        <f>C17</f>
        <v>1.196449628708927</v>
      </c>
      <c r="D38" s="137">
        <f t="shared" ref="D38:E38" si="16">D17</f>
        <v>1.199372876927097</v>
      </c>
      <c r="E38" s="137">
        <f t="shared" si="16"/>
        <v>1.1954125452145441</v>
      </c>
      <c r="F38" s="351">
        <v>1.1954125452145441</v>
      </c>
      <c r="G38" s="351">
        <v>1.1954125452145441</v>
      </c>
      <c r="H38" s="351">
        <v>1.1954125452145441</v>
      </c>
      <c r="I38" s="351">
        <v>1.1954125452145441</v>
      </c>
      <c r="J38" s="352">
        <v>1.1954125452145441</v>
      </c>
      <c r="K38" s="180"/>
      <c r="L38" s="180"/>
      <c r="M38" s="180"/>
      <c r="N38" s="180"/>
      <c r="O38" s="180"/>
    </row>
    <row r="39" spans="1:15" x14ac:dyDescent="0.25">
      <c r="B39" s="4" t="s">
        <v>48</v>
      </c>
      <c r="C39" s="137">
        <f t="shared" ref="C39:E39" si="17">C18</f>
        <v>62754</v>
      </c>
      <c r="D39" s="137">
        <f t="shared" si="17"/>
        <v>61232</v>
      </c>
      <c r="E39" s="137">
        <f t="shared" si="17"/>
        <v>58333</v>
      </c>
      <c r="F39" s="103">
        <f t="shared" ref="F39:J40" si="18">F18</f>
        <v>55434</v>
      </c>
      <c r="G39" s="103">
        <f t="shared" si="18"/>
        <v>52535</v>
      </c>
      <c r="H39" s="103">
        <f t="shared" si="18"/>
        <v>52535</v>
      </c>
      <c r="I39" s="103">
        <f t="shared" si="18"/>
        <v>52535</v>
      </c>
      <c r="J39" s="315">
        <f t="shared" si="18"/>
        <v>52535</v>
      </c>
      <c r="K39" s="210"/>
      <c r="L39" s="210"/>
      <c r="M39" s="210"/>
      <c r="N39" s="210"/>
      <c r="O39" s="210"/>
    </row>
    <row r="40" spans="1:15" x14ac:dyDescent="0.25">
      <c r="B40" s="4" t="s">
        <v>49</v>
      </c>
      <c r="C40" s="137">
        <f t="shared" ref="C40:E40" si="19">C19</f>
        <v>62970</v>
      </c>
      <c r="D40" s="137">
        <f t="shared" si="19"/>
        <v>61424</v>
      </c>
      <c r="E40" s="137">
        <f t="shared" si="19"/>
        <v>58502</v>
      </c>
      <c r="F40" s="103">
        <f t="shared" si="18"/>
        <v>55580</v>
      </c>
      <c r="G40" s="103">
        <f t="shared" si="18"/>
        <v>52658</v>
      </c>
      <c r="H40" s="103">
        <f t="shared" si="18"/>
        <v>52658</v>
      </c>
      <c r="I40" s="103">
        <f t="shared" si="18"/>
        <v>52658</v>
      </c>
      <c r="J40" s="315">
        <f t="shared" si="18"/>
        <v>52658</v>
      </c>
      <c r="K40" s="210"/>
      <c r="L40" s="210"/>
      <c r="M40" s="210"/>
      <c r="N40" s="210"/>
      <c r="O40" s="210"/>
    </row>
    <row r="41" spans="1:15" x14ac:dyDescent="0.25">
      <c r="F41" s="32"/>
      <c r="G41" s="32"/>
      <c r="H41" s="32"/>
      <c r="I41" s="32"/>
      <c r="J41" s="32"/>
      <c r="K41" s="312"/>
      <c r="L41" s="312"/>
      <c r="M41" s="312"/>
      <c r="N41" s="32"/>
      <c r="O41" s="32"/>
    </row>
    <row r="42" spans="1:15" x14ac:dyDescent="0.25">
      <c r="A42" s="65" t="s">
        <v>124</v>
      </c>
      <c r="B42" s="108" t="s">
        <v>130</v>
      </c>
      <c r="C42" s="109">
        <v>44926</v>
      </c>
      <c r="D42" s="109">
        <v>45291</v>
      </c>
      <c r="E42" s="109">
        <v>45657</v>
      </c>
      <c r="F42" s="118">
        <v>46022</v>
      </c>
      <c r="G42" s="118">
        <v>46387</v>
      </c>
      <c r="H42" s="118">
        <v>46752</v>
      </c>
      <c r="I42" s="118">
        <v>47118</v>
      </c>
      <c r="J42" s="118">
        <v>47483</v>
      </c>
      <c r="K42" s="212"/>
      <c r="L42" s="212"/>
      <c r="M42" s="212"/>
      <c r="N42" s="212"/>
      <c r="O42" s="212"/>
    </row>
    <row r="43" spans="1:15" x14ac:dyDescent="0.25">
      <c r="A43" s="87"/>
      <c r="B43" s="168"/>
      <c r="C43" s="209"/>
      <c r="D43" s="209"/>
      <c r="E43" s="209"/>
      <c r="F43" s="305"/>
      <c r="G43" s="305"/>
      <c r="H43" s="305"/>
      <c r="I43" s="305"/>
      <c r="J43" s="305"/>
      <c r="K43" s="212"/>
      <c r="L43" s="212"/>
      <c r="M43" s="212"/>
      <c r="N43" s="212"/>
      <c r="O43" s="212"/>
    </row>
    <row r="44" spans="1:15" x14ac:dyDescent="0.25">
      <c r="B44" s="4" t="s">
        <v>141</v>
      </c>
      <c r="C44" s="350">
        <f>BalSheet!C4</f>
        <v>2.5790454574314448E-2</v>
      </c>
      <c r="D44" s="350">
        <f>BalSheet!D4</f>
        <v>2.7818208382485162E-2</v>
      </c>
      <c r="E44" s="28">
        <f>BalSheet!E4</f>
        <v>2.9358843345026697E-2</v>
      </c>
      <c r="F44" s="102">
        <f>E44</f>
        <v>2.9358843345026697E-2</v>
      </c>
      <c r="G44" s="102">
        <f t="shared" ref="G44:J44" si="20">F44</f>
        <v>2.9358843345026697E-2</v>
      </c>
      <c r="H44" s="102">
        <f t="shared" si="20"/>
        <v>2.9358843345026697E-2</v>
      </c>
      <c r="I44" s="102">
        <f t="shared" si="20"/>
        <v>2.9358843345026697E-2</v>
      </c>
      <c r="J44" s="313">
        <f t="shared" si="20"/>
        <v>2.9358843345026697E-2</v>
      </c>
      <c r="K44" s="180"/>
      <c r="L44" s="180"/>
      <c r="M44" s="180"/>
      <c r="N44" s="180"/>
      <c r="O44" s="180"/>
    </row>
    <row r="45" spans="1:15" x14ac:dyDescent="0.25">
      <c r="B45" s="4" t="s">
        <v>154</v>
      </c>
      <c r="C45" s="350">
        <f>BalSheet!C5</f>
        <v>0.15806494634184642</v>
      </c>
      <c r="D45" s="350">
        <f>BalSheet!D5</f>
        <v>0.12132330695976117</v>
      </c>
      <c r="E45" s="28">
        <f>BalSheet!E5</f>
        <v>0.12395096809280581</v>
      </c>
      <c r="F45" s="102">
        <f>E45</f>
        <v>0.12395096809280581</v>
      </c>
      <c r="G45" s="102">
        <f t="shared" ref="G45:J45" si="21">F45</f>
        <v>0.12395096809280581</v>
      </c>
      <c r="H45" s="102">
        <f t="shared" si="21"/>
        <v>0.12395096809280581</v>
      </c>
      <c r="I45" s="102">
        <f t="shared" si="21"/>
        <v>0.12395096809280581</v>
      </c>
      <c r="J45" s="313">
        <f t="shared" si="21"/>
        <v>0.12395096809280581</v>
      </c>
      <c r="K45" s="180"/>
      <c r="L45" s="180"/>
      <c r="M45" s="180"/>
      <c r="N45" s="180"/>
      <c r="O45" s="180"/>
    </row>
    <row r="46" spans="1:15" x14ac:dyDescent="0.25">
      <c r="B46" s="4" t="s">
        <v>64</v>
      </c>
      <c r="C46" s="350">
        <f>BalSheet!C6</f>
        <v>0.58670940302577068</v>
      </c>
      <c r="D46" s="350">
        <f>BalSheet!D6</f>
        <v>0.42468577698032917</v>
      </c>
      <c r="E46" s="28">
        <f>BalSheet!E6</f>
        <v>0.41163411916683013</v>
      </c>
      <c r="F46" s="102">
        <f t="shared" ref="F46:J46" si="22">E46</f>
        <v>0.41163411916683013</v>
      </c>
      <c r="G46" s="102">
        <f t="shared" si="22"/>
        <v>0.41163411916683013</v>
      </c>
      <c r="H46" s="102">
        <f t="shared" si="22"/>
        <v>0.41163411916683013</v>
      </c>
      <c r="I46" s="102">
        <f t="shared" si="22"/>
        <v>0.41163411916683013</v>
      </c>
      <c r="J46" s="313">
        <f t="shared" si="22"/>
        <v>0.41163411916683013</v>
      </c>
      <c r="K46" s="180"/>
      <c r="L46" s="180"/>
      <c r="M46" s="180"/>
      <c r="N46" s="180"/>
      <c r="O46" s="180"/>
    </row>
    <row r="47" spans="1:15" x14ac:dyDescent="0.25">
      <c r="B47" s="4" t="s">
        <v>65</v>
      </c>
      <c r="C47" s="350">
        <f>BalSheet!C7</f>
        <v>3.7490271789459587E-2</v>
      </c>
      <c r="D47" s="350">
        <f>BalSheet!D7</f>
        <v>2.3174446684061697E-2</v>
      </c>
      <c r="E47" s="28">
        <f>BalSheet!E7</f>
        <v>2.5248309229224643E-2</v>
      </c>
      <c r="F47" s="102">
        <f t="shared" ref="F47:J47" si="23">E47</f>
        <v>2.5248309229224643E-2</v>
      </c>
      <c r="G47" s="102">
        <f t="shared" si="23"/>
        <v>2.5248309229224643E-2</v>
      </c>
      <c r="H47" s="102">
        <f t="shared" si="23"/>
        <v>2.5248309229224643E-2</v>
      </c>
      <c r="I47" s="102">
        <f t="shared" si="23"/>
        <v>2.5248309229224643E-2</v>
      </c>
      <c r="J47" s="313">
        <f t="shared" si="23"/>
        <v>2.5248309229224643E-2</v>
      </c>
      <c r="K47" s="180"/>
      <c r="L47" s="180"/>
      <c r="M47" s="180"/>
      <c r="N47" s="180"/>
      <c r="O47" s="180"/>
    </row>
    <row r="48" spans="1:15" x14ac:dyDescent="0.25">
      <c r="B48" s="4" t="s">
        <v>66</v>
      </c>
      <c r="C48" s="350">
        <f>BalSheet!C8</f>
        <v>0.14148888385959971</v>
      </c>
      <c r="D48" s="350">
        <f>BalSheet!D8</f>
        <v>0.15211187877505267</v>
      </c>
      <c r="E48" s="28">
        <f>BalSheet!E8</f>
        <v>0.17154399091368416</v>
      </c>
      <c r="F48" s="102">
        <f>E48</f>
        <v>0.17154399091368416</v>
      </c>
      <c r="G48" s="102">
        <f t="shared" ref="G48:J48" si="24">F48</f>
        <v>0.17154399091368416</v>
      </c>
      <c r="H48" s="102">
        <f t="shared" si="24"/>
        <v>0.17154399091368416</v>
      </c>
      <c r="I48" s="102">
        <f t="shared" si="24"/>
        <v>0.17154399091368416</v>
      </c>
      <c r="J48" s="313">
        <f t="shared" si="24"/>
        <v>0.17154399091368416</v>
      </c>
      <c r="K48" s="180"/>
      <c r="L48" s="180"/>
      <c r="M48" s="180"/>
      <c r="N48" s="180"/>
      <c r="O48" s="180"/>
    </row>
    <row r="49" spans="1:15" x14ac:dyDescent="0.25">
      <c r="F49" s="32"/>
      <c r="G49" s="32"/>
      <c r="H49" s="32"/>
      <c r="I49" s="32"/>
      <c r="J49" s="32"/>
      <c r="K49" s="312"/>
      <c r="L49" s="312"/>
      <c r="M49" s="312"/>
      <c r="N49" s="32"/>
      <c r="O49" s="32"/>
    </row>
    <row r="50" spans="1:15" x14ac:dyDescent="0.25">
      <c r="A50" s="65" t="s">
        <v>124</v>
      </c>
      <c r="B50" s="108" t="s">
        <v>131</v>
      </c>
      <c r="C50" s="109">
        <v>44926</v>
      </c>
      <c r="D50" s="109">
        <v>45291</v>
      </c>
      <c r="E50" s="109">
        <v>45657</v>
      </c>
      <c r="F50" s="118">
        <v>46022</v>
      </c>
      <c r="G50" s="118">
        <v>46387</v>
      </c>
      <c r="H50" s="118">
        <v>46752</v>
      </c>
      <c r="I50" s="118">
        <v>47118</v>
      </c>
      <c r="J50" s="118">
        <v>47483</v>
      </c>
      <c r="K50" s="212"/>
      <c r="L50" s="212"/>
      <c r="M50" s="212"/>
      <c r="N50" s="212"/>
      <c r="O50" s="212"/>
    </row>
    <row r="51" spans="1:15" x14ac:dyDescent="0.25">
      <c r="A51" s="87"/>
      <c r="B51" s="168"/>
      <c r="C51" s="209"/>
      <c r="D51" s="209"/>
      <c r="E51" s="209"/>
      <c r="F51" s="305"/>
      <c r="G51" s="305"/>
      <c r="H51" s="305"/>
      <c r="I51" s="305"/>
      <c r="J51" s="305"/>
      <c r="K51" s="212"/>
      <c r="L51" s="212"/>
      <c r="M51" s="212"/>
      <c r="N51" s="212"/>
      <c r="O51" s="212"/>
    </row>
    <row r="52" spans="1:15" x14ac:dyDescent="0.25">
      <c r="B52" s="4" t="s">
        <v>155</v>
      </c>
      <c r="C52" s="350">
        <f>BalSheet!C10</f>
        <v>0.38220463026660595</v>
      </c>
      <c r="D52" s="350">
        <f>BalSheet!D10</f>
        <v>0.2990665640074866</v>
      </c>
      <c r="E52" s="28">
        <f>BalSheet!E10</f>
        <v>0.41173724900849301</v>
      </c>
      <c r="F52" s="102">
        <f t="shared" ref="F52:J52" si="25">E52</f>
        <v>0.41173724900849301</v>
      </c>
      <c r="G52" s="102">
        <f t="shared" si="25"/>
        <v>0.41173724900849301</v>
      </c>
      <c r="H52" s="102">
        <f t="shared" si="25"/>
        <v>0.41173724900849301</v>
      </c>
      <c r="I52" s="102">
        <f t="shared" si="25"/>
        <v>0.41173724900849301</v>
      </c>
      <c r="J52" s="313">
        <f t="shared" si="25"/>
        <v>0.41173724900849301</v>
      </c>
      <c r="K52" s="180"/>
      <c r="L52" s="180"/>
      <c r="M52" s="180"/>
      <c r="N52" s="180"/>
      <c r="O52" s="180"/>
    </row>
    <row r="53" spans="1:15" x14ac:dyDescent="0.25">
      <c r="B53" s="4" t="s">
        <v>67</v>
      </c>
      <c r="C53" s="350">
        <f>BalSheet!C11</f>
        <v>1.9827363233483983E-2</v>
      </c>
      <c r="D53" s="350">
        <f>BalSheet!D11</f>
        <v>2.0384818434716876E-2</v>
      </c>
      <c r="E53" s="28">
        <f>BalSheet!E11</f>
        <v>2.2518970890422142E-2</v>
      </c>
      <c r="F53" s="102">
        <f t="shared" ref="F53:J53" si="26">E53</f>
        <v>2.2518970890422142E-2</v>
      </c>
      <c r="G53" s="102">
        <f t="shared" si="26"/>
        <v>2.2518970890422142E-2</v>
      </c>
      <c r="H53" s="102">
        <f t="shared" si="26"/>
        <v>2.2518970890422142E-2</v>
      </c>
      <c r="I53" s="102">
        <f t="shared" si="26"/>
        <v>2.2518970890422142E-2</v>
      </c>
      <c r="J53" s="313">
        <f t="shared" si="26"/>
        <v>2.2518970890422142E-2</v>
      </c>
      <c r="K53" s="180"/>
      <c r="L53" s="180"/>
      <c r="M53" s="180"/>
      <c r="N53" s="180"/>
      <c r="O53" s="180"/>
    </row>
    <row r="54" spans="1:15" x14ac:dyDescent="0.25">
      <c r="B54" s="4" t="s">
        <v>68</v>
      </c>
      <c r="C54" s="350">
        <f>BalSheet!C12</f>
        <v>0.10884020100734609</v>
      </c>
      <c r="D54" s="350">
        <f>BalSheet!D12</f>
        <v>0.11578792516523988</v>
      </c>
      <c r="E54" s="28">
        <f>BalSheet!E12</f>
        <v>0.12725859130043443</v>
      </c>
      <c r="F54" s="102">
        <f t="shared" ref="F54:J54" si="27">E54</f>
        <v>0.12725859130043443</v>
      </c>
      <c r="G54" s="102">
        <f t="shared" si="27"/>
        <v>0.12725859130043443</v>
      </c>
      <c r="H54" s="102">
        <f t="shared" si="27"/>
        <v>0.12725859130043443</v>
      </c>
      <c r="I54" s="102">
        <f t="shared" si="27"/>
        <v>0.12725859130043443</v>
      </c>
      <c r="J54" s="313">
        <f t="shared" si="27"/>
        <v>0.12725859130043443</v>
      </c>
      <c r="K54" s="180"/>
      <c r="L54" s="180"/>
      <c r="M54" s="180"/>
      <c r="N54" s="180"/>
      <c r="O54" s="180"/>
    </row>
    <row r="55" spans="1:15" x14ac:dyDescent="0.25">
      <c r="F55" s="127"/>
      <c r="G55" s="32"/>
      <c r="H55" s="32"/>
      <c r="I55" s="32"/>
      <c r="J55" s="317"/>
    </row>
    <row r="56" spans="1:15" x14ac:dyDescent="0.25">
      <c r="F56" s="128"/>
      <c r="G56" s="96"/>
      <c r="H56" s="96"/>
      <c r="I56" s="96"/>
      <c r="J56" s="96"/>
    </row>
    <row r="57" spans="1:15" x14ac:dyDescent="0.25">
      <c r="F57" s="96"/>
      <c r="G57" s="96"/>
      <c r="H57" s="96"/>
      <c r="I57" s="96"/>
      <c r="J57" s="96"/>
    </row>
  </sheetData>
  <scenarios current="0">
    <scenario name="Pessimistic" locked="1" count="1" user="Alan Chen" comment="Created by Alan Chen on 9/28/2025">
      <inputCells r="D4" val=""/>
    </scenario>
  </scenarios>
  <dataConsolidate/>
  <conditionalFormatting sqref="D4:D5 B6 D6:E6 P6:P7 Q7:W7 D7:D8 P9:Q11 F38:O40 E46 F52:O54 F56:J57 F44:O48 F11:O34 F6:N8">
    <cfRule type="expression" dxfId="6" priority="14">
      <formula>$E$10&gt;1</formula>
    </cfRule>
  </conditionalFormatting>
  <conditionalFormatting sqref="E7">
    <cfRule type="expression" dxfId="5" priority="32">
      <formula>$E$10&lt;&gt;2</formula>
    </cfRule>
  </conditionalFormatting>
  <conditionalFormatting sqref="E8">
    <cfRule type="expression" dxfId="4" priority="33">
      <formula>$E$10&lt;&gt;3</formula>
    </cfRule>
  </conditionalFormatting>
  <conditionalFormatting sqref="K36:O37">
    <cfRule type="expression" dxfId="3" priority="3">
      <formula>$E$10&gt;1</formula>
    </cfRule>
  </conditionalFormatting>
  <conditionalFormatting sqref="K42:O43">
    <cfRule type="expression" dxfId="2" priority="2">
      <formula>$E$10&gt;1</formula>
    </cfRule>
  </conditionalFormatting>
  <conditionalFormatting sqref="K50:O51">
    <cfRule type="expression" dxfId="1" priority="1">
      <formula>$E$10&gt;1</formula>
    </cfRule>
  </conditionalFormatting>
  <dataValidations count="1">
    <dataValidation type="list" allowBlank="1" showInputMessage="1" showErrorMessage="1" sqref="D4 P4" xr:uid="{FF8E3CD2-0581-4318-AB93-6B284CEDF514}">
      <formula1>"1,2,3"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autoPageBreaks="0" fitToPage="1"/>
  </sheetPr>
  <dimension ref="A1:P40"/>
  <sheetViews>
    <sheetView showGridLines="0" zoomScaleNormal="100" workbookViewId="0">
      <selection activeCell="G26" sqref="G26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8" width="11.7109375" style="4" customWidth="1"/>
    <col min="9" max="10" width="11.7109375" style="6" customWidth="1"/>
    <col min="11" max="13" width="11.7109375" style="310" customWidth="1"/>
    <col min="14" max="15" width="11.42578125" style="4" customWidth="1"/>
    <col min="16" max="256" width="8.85546875" style="4"/>
    <col min="257" max="257" width="1.7109375" style="4" customWidth="1"/>
    <col min="258" max="258" width="40.7109375" style="4" customWidth="1"/>
    <col min="259" max="266" width="10.7109375" style="4" customWidth="1"/>
    <col min="267" max="512" width="8.85546875" style="4"/>
    <col min="513" max="513" width="1.7109375" style="4" customWidth="1"/>
    <col min="514" max="514" width="40.7109375" style="4" customWidth="1"/>
    <col min="515" max="522" width="10.7109375" style="4" customWidth="1"/>
    <col min="523" max="768" width="8.85546875" style="4"/>
    <col min="769" max="769" width="1.7109375" style="4" customWidth="1"/>
    <col min="770" max="770" width="40.7109375" style="4" customWidth="1"/>
    <col min="771" max="778" width="10.7109375" style="4" customWidth="1"/>
    <col min="779" max="1024" width="8.85546875" style="4"/>
    <col min="1025" max="1025" width="1.7109375" style="4" customWidth="1"/>
    <col min="1026" max="1026" width="40.7109375" style="4" customWidth="1"/>
    <col min="1027" max="1034" width="10.7109375" style="4" customWidth="1"/>
    <col min="1035" max="1280" width="8.85546875" style="4"/>
    <col min="1281" max="1281" width="1.7109375" style="4" customWidth="1"/>
    <col min="1282" max="1282" width="40.7109375" style="4" customWidth="1"/>
    <col min="1283" max="1290" width="10.7109375" style="4" customWidth="1"/>
    <col min="1291" max="1536" width="8.85546875" style="4"/>
    <col min="1537" max="1537" width="1.7109375" style="4" customWidth="1"/>
    <col min="1538" max="1538" width="40.7109375" style="4" customWidth="1"/>
    <col min="1539" max="1546" width="10.7109375" style="4" customWidth="1"/>
    <col min="1547" max="1792" width="8.85546875" style="4"/>
    <col min="1793" max="1793" width="1.7109375" style="4" customWidth="1"/>
    <col min="1794" max="1794" width="40.7109375" style="4" customWidth="1"/>
    <col min="1795" max="1802" width="10.7109375" style="4" customWidth="1"/>
    <col min="1803" max="2048" width="8.85546875" style="4"/>
    <col min="2049" max="2049" width="1.7109375" style="4" customWidth="1"/>
    <col min="2050" max="2050" width="40.7109375" style="4" customWidth="1"/>
    <col min="2051" max="2058" width="10.7109375" style="4" customWidth="1"/>
    <col min="2059" max="2304" width="8.85546875" style="4"/>
    <col min="2305" max="2305" width="1.7109375" style="4" customWidth="1"/>
    <col min="2306" max="2306" width="40.7109375" style="4" customWidth="1"/>
    <col min="2307" max="2314" width="10.7109375" style="4" customWidth="1"/>
    <col min="2315" max="2560" width="8.85546875" style="4"/>
    <col min="2561" max="2561" width="1.7109375" style="4" customWidth="1"/>
    <col min="2562" max="2562" width="40.7109375" style="4" customWidth="1"/>
    <col min="2563" max="2570" width="10.7109375" style="4" customWidth="1"/>
    <col min="2571" max="2816" width="8.85546875" style="4"/>
    <col min="2817" max="2817" width="1.7109375" style="4" customWidth="1"/>
    <col min="2818" max="2818" width="40.7109375" style="4" customWidth="1"/>
    <col min="2819" max="2826" width="10.7109375" style="4" customWidth="1"/>
    <col min="2827" max="3072" width="8.85546875" style="4"/>
    <col min="3073" max="3073" width="1.7109375" style="4" customWidth="1"/>
    <col min="3074" max="3074" width="40.7109375" style="4" customWidth="1"/>
    <col min="3075" max="3082" width="10.7109375" style="4" customWidth="1"/>
    <col min="3083" max="3328" width="8.85546875" style="4"/>
    <col min="3329" max="3329" width="1.7109375" style="4" customWidth="1"/>
    <col min="3330" max="3330" width="40.7109375" style="4" customWidth="1"/>
    <col min="3331" max="3338" width="10.7109375" style="4" customWidth="1"/>
    <col min="3339" max="3584" width="8.85546875" style="4"/>
    <col min="3585" max="3585" width="1.7109375" style="4" customWidth="1"/>
    <col min="3586" max="3586" width="40.7109375" style="4" customWidth="1"/>
    <col min="3587" max="3594" width="10.7109375" style="4" customWidth="1"/>
    <col min="3595" max="3840" width="8.85546875" style="4"/>
    <col min="3841" max="3841" width="1.7109375" style="4" customWidth="1"/>
    <col min="3842" max="3842" width="40.7109375" style="4" customWidth="1"/>
    <col min="3843" max="3850" width="10.7109375" style="4" customWidth="1"/>
    <col min="3851" max="4096" width="8.85546875" style="4"/>
    <col min="4097" max="4097" width="1.7109375" style="4" customWidth="1"/>
    <col min="4098" max="4098" width="40.7109375" style="4" customWidth="1"/>
    <col min="4099" max="4106" width="10.7109375" style="4" customWidth="1"/>
    <col min="4107" max="4352" width="8.85546875" style="4"/>
    <col min="4353" max="4353" width="1.7109375" style="4" customWidth="1"/>
    <col min="4354" max="4354" width="40.7109375" style="4" customWidth="1"/>
    <col min="4355" max="4362" width="10.7109375" style="4" customWidth="1"/>
    <col min="4363" max="4608" width="8.85546875" style="4"/>
    <col min="4609" max="4609" width="1.7109375" style="4" customWidth="1"/>
    <col min="4610" max="4610" width="40.7109375" style="4" customWidth="1"/>
    <col min="4611" max="4618" width="10.7109375" style="4" customWidth="1"/>
    <col min="4619" max="4864" width="8.85546875" style="4"/>
    <col min="4865" max="4865" width="1.7109375" style="4" customWidth="1"/>
    <col min="4866" max="4866" width="40.7109375" style="4" customWidth="1"/>
    <col min="4867" max="4874" width="10.7109375" style="4" customWidth="1"/>
    <col min="4875" max="5120" width="8.85546875" style="4"/>
    <col min="5121" max="5121" width="1.7109375" style="4" customWidth="1"/>
    <col min="5122" max="5122" width="40.7109375" style="4" customWidth="1"/>
    <col min="5123" max="5130" width="10.7109375" style="4" customWidth="1"/>
    <col min="5131" max="5376" width="8.85546875" style="4"/>
    <col min="5377" max="5377" width="1.7109375" style="4" customWidth="1"/>
    <col min="5378" max="5378" width="40.7109375" style="4" customWidth="1"/>
    <col min="5379" max="5386" width="10.7109375" style="4" customWidth="1"/>
    <col min="5387" max="5632" width="8.85546875" style="4"/>
    <col min="5633" max="5633" width="1.7109375" style="4" customWidth="1"/>
    <col min="5634" max="5634" width="40.7109375" style="4" customWidth="1"/>
    <col min="5635" max="5642" width="10.7109375" style="4" customWidth="1"/>
    <col min="5643" max="5888" width="8.85546875" style="4"/>
    <col min="5889" max="5889" width="1.7109375" style="4" customWidth="1"/>
    <col min="5890" max="5890" width="40.7109375" style="4" customWidth="1"/>
    <col min="5891" max="5898" width="10.7109375" style="4" customWidth="1"/>
    <col min="5899" max="6144" width="8.85546875" style="4"/>
    <col min="6145" max="6145" width="1.7109375" style="4" customWidth="1"/>
    <col min="6146" max="6146" width="40.7109375" style="4" customWidth="1"/>
    <col min="6147" max="6154" width="10.7109375" style="4" customWidth="1"/>
    <col min="6155" max="6400" width="8.85546875" style="4"/>
    <col min="6401" max="6401" width="1.7109375" style="4" customWidth="1"/>
    <col min="6402" max="6402" width="40.7109375" style="4" customWidth="1"/>
    <col min="6403" max="6410" width="10.7109375" style="4" customWidth="1"/>
    <col min="6411" max="6656" width="8.85546875" style="4"/>
    <col min="6657" max="6657" width="1.7109375" style="4" customWidth="1"/>
    <col min="6658" max="6658" width="40.7109375" style="4" customWidth="1"/>
    <col min="6659" max="6666" width="10.7109375" style="4" customWidth="1"/>
    <col min="6667" max="6912" width="8.85546875" style="4"/>
    <col min="6913" max="6913" width="1.7109375" style="4" customWidth="1"/>
    <col min="6914" max="6914" width="40.7109375" style="4" customWidth="1"/>
    <col min="6915" max="6922" width="10.7109375" style="4" customWidth="1"/>
    <col min="6923" max="7168" width="8.85546875" style="4"/>
    <col min="7169" max="7169" width="1.7109375" style="4" customWidth="1"/>
    <col min="7170" max="7170" width="40.7109375" style="4" customWidth="1"/>
    <col min="7171" max="7178" width="10.7109375" style="4" customWidth="1"/>
    <col min="7179" max="7424" width="8.85546875" style="4"/>
    <col min="7425" max="7425" width="1.7109375" style="4" customWidth="1"/>
    <col min="7426" max="7426" width="40.7109375" style="4" customWidth="1"/>
    <col min="7427" max="7434" width="10.7109375" style="4" customWidth="1"/>
    <col min="7435" max="7680" width="8.85546875" style="4"/>
    <col min="7681" max="7681" width="1.7109375" style="4" customWidth="1"/>
    <col min="7682" max="7682" width="40.7109375" style="4" customWidth="1"/>
    <col min="7683" max="7690" width="10.7109375" style="4" customWidth="1"/>
    <col min="7691" max="7936" width="8.85546875" style="4"/>
    <col min="7937" max="7937" width="1.7109375" style="4" customWidth="1"/>
    <col min="7938" max="7938" width="40.7109375" style="4" customWidth="1"/>
    <col min="7939" max="7946" width="10.7109375" style="4" customWidth="1"/>
    <col min="7947" max="8192" width="8.85546875" style="4"/>
    <col min="8193" max="8193" width="1.7109375" style="4" customWidth="1"/>
    <col min="8194" max="8194" width="40.7109375" style="4" customWidth="1"/>
    <col min="8195" max="8202" width="10.7109375" style="4" customWidth="1"/>
    <col min="8203" max="8448" width="8.85546875" style="4"/>
    <col min="8449" max="8449" width="1.7109375" style="4" customWidth="1"/>
    <col min="8450" max="8450" width="40.7109375" style="4" customWidth="1"/>
    <col min="8451" max="8458" width="10.7109375" style="4" customWidth="1"/>
    <col min="8459" max="8704" width="8.85546875" style="4"/>
    <col min="8705" max="8705" width="1.7109375" style="4" customWidth="1"/>
    <col min="8706" max="8706" width="40.7109375" style="4" customWidth="1"/>
    <col min="8707" max="8714" width="10.7109375" style="4" customWidth="1"/>
    <col min="8715" max="8960" width="8.85546875" style="4"/>
    <col min="8961" max="8961" width="1.7109375" style="4" customWidth="1"/>
    <col min="8962" max="8962" width="40.7109375" style="4" customWidth="1"/>
    <col min="8963" max="8970" width="10.7109375" style="4" customWidth="1"/>
    <col min="8971" max="9216" width="8.85546875" style="4"/>
    <col min="9217" max="9217" width="1.7109375" style="4" customWidth="1"/>
    <col min="9218" max="9218" width="40.7109375" style="4" customWidth="1"/>
    <col min="9219" max="9226" width="10.7109375" style="4" customWidth="1"/>
    <col min="9227" max="9472" width="8.85546875" style="4"/>
    <col min="9473" max="9473" width="1.7109375" style="4" customWidth="1"/>
    <col min="9474" max="9474" width="40.7109375" style="4" customWidth="1"/>
    <col min="9475" max="9482" width="10.7109375" style="4" customWidth="1"/>
    <col min="9483" max="9728" width="8.85546875" style="4"/>
    <col min="9729" max="9729" width="1.7109375" style="4" customWidth="1"/>
    <col min="9730" max="9730" width="40.7109375" style="4" customWidth="1"/>
    <col min="9731" max="9738" width="10.7109375" style="4" customWidth="1"/>
    <col min="9739" max="9984" width="8.85546875" style="4"/>
    <col min="9985" max="9985" width="1.7109375" style="4" customWidth="1"/>
    <col min="9986" max="9986" width="40.7109375" style="4" customWidth="1"/>
    <col min="9987" max="9994" width="10.7109375" style="4" customWidth="1"/>
    <col min="9995" max="10240" width="8.85546875" style="4"/>
    <col min="10241" max="10241" width="1.7109375" style="4" customWidth="1"/>
    <col min="10242" max="10242" width="40.7109375" style="4" customWidth="1"/>
    <col min="10243" max="10250" width="10.7109375" style="4" customWidth="1"/>
    <col min="10251" max="10496" width="8.85546875" style="4"/>
    <col min="10497" max="10497" width="1.7109375" style="4" customWidth="1"/>
    <col min="10498" max="10498" width="40.7109375" style="4" customWidth="1"/>
    <col min="10499" max="10506" width="10.7109375" style="4" customWidth="1"/>
    <col min="10507" max="10752" width="8.85546875" style="4"/>
    <col min="10753" max="10753" width="1.7109375" style="4" customWidth="1"/>
    <col min="10754" max="10754" width="40.7109375" style="4" customWidth="1"/>
    <col min="10755" max="10762" width="10.7109375" style="4" customWidth="1"/>
    <col min="10763" max="11008" width="8.85546875" style="4"/>
    <col min="11009" max="11009" width="1.7109375" style="4" customWidth="1"/>
    <col min="11010" max="11010" width="40.7109375" style="4" customWidth="1"/>
    <col min="11011" max="11018" width="10.7109375" style="4" customWidth="1"/>
    <col min="11019" max="11264" width="8.85546875" style="4"/>
    <col min="11265" max="11265" width="1.7109375" style="4" customWidth="1"/>
    <col min="11266" max="11266" width="40.7109375" style="4" customWidth="1"/>
    <col min="11267" max="11274" width="10.7109375" style="4" customWidth="1"/>
    <col min="11275" max="11520" width="8.85546875" style="4"/>
    <col min="11521" max="11521" width="1.7109375" style="4" customWidth="1"/>
    <col min="11522" max="11522" width="40.7109375" style="4" customWidth="1"/>
    <col min="11523" max="11530" width="10.7109375" style="4" customWidth="1"/>
    <col min="11531" max="11776" width="8.85546875" style="4"/>
    <col min="11777" max="11777" width="1.7109375" style="4" customWidth="1"/>
    <col min="11778" max="11778" width="40.7109375" style="4" customWidth="1"/>
    <col min="11779" max="11786" width="10.7109375" style="4" customWidth="1"/>
    <col min="11787" max="12032" width="8.85546875" style="4"/>
    <col min="12033" max="12033" width="1.7109375" style="4" customWidth="1"/>
    <col min="12034" max="12034" width="40.7109375" style="4" customWidth="1"/>
    <col min="12035" max="12042" width="10.7109375" style="4" customWidth="1"/>
    <col min="12043" max="12288" width="8.85546875" style="4"/>
    <col min="12289" max="12289" width="1.7109375" style="4" customWidth="1"/>
    <col min="12290" max="12290" width="40.7109375" style="4" customWidth="1"/>
    <col min="12291" max="12298" width="10.7109375" style="4" customWidth="1"/>
    <col min="12299" max="12544" width="8.85546875" style="4"/>
    <col min="12545" max="12545" width="1.7109375" style="4" customWidth="1"/>
    <col min="12546" max="12546" width="40.7109375" style="4" customWidth="1"/>
    <col min="12547" max="12554" width="10.7109375" style="4" customWidth="1"/>
    <col min="12555" max="12800" width="8.85546875" style="4"/>
    <col min="12801" max="12801" width="1.7109375" style="4" customWidth="1"/>
    <col min="12802" max="12802" width="40.7109375" style="4" customWidth="1"/>
    <col min="12803" max="12810" width="10.7109375" style="4" customWidth="1"/>
    <col min="12811" max="13056" width="8.85546875" style="4"/>
    <col min="13057" max="13057" width="1.7109375" style="4" customWidth="1"/>
    <col min="13058" max="13058" width="40.7109375" style="4" customWidth="1"/>
    <col min="13059" max="13066" width="10.7109375" style="4" customWidth="1"/>
    <col min="13067" max="13312" width="8.85546875" style="4"/>
    <col min="13313" max="13313" width="1.7109375" style="4" customWidth="1"/>
    <col min="13314" max="13314" width="40.7109375" style="4" customWidth="1"/>
    <col min="13315" max="13322" width="10.7109375" style="4" customWidth="1"/>
    <col min="13323" max="13568" width="8.85546875" style="4"/>
    <col min="13569" max="13569" width="1.7109375" style="4" customWidth="1"/>
    <col min="13570" max="13570" width="40.7109375" style="4" customWidth="1"/>
    <col min="13571" max="13578" width="10.7109375" style="4" customWidth="1"/>
    <col min="13579" max="13824" width="8.85546875" style="4"/>
    <col min="13825" max="13825" width="1.7109375" style="4" customWidth="1"/>
    <col min="13826" max="13826" width="40.7109375" style="4" customWidth="1"/>
    <col min="13827" max="13834" width="10.7109375" style="4" customWidth="1"/>
    <col min="13835" max="14080" width="8.85546875" style="4"/>
    <col min="14081" max="14081" width="1.7109375" style="4" customWidth="1"/>
    <col min="14082" max="14082" width="40.7109375" style="4" customWidth="1"/>
    <col min="14083" max="14090" width="10.7109375" style="4" customWidth="1"/>
    <col min="14091" max="14336" width="8.85546875" style="4"/>
    <col min="14337" max="14337" width="1.7109375" style="4" customWidth="1"/>
    <col min="14338" max="14338" width="40.7109375" style="4" customWidth="1"/>
    <col min="14339" max="14346" width="10.7109375" style="4" customWidth="1"/>
    <col min="14347" max="14592" width="8.85546875" style="4"/>
    <col min="14593" max="14593" width="1.7109375" style="4" customWidth="1"/>
    <col min="14594" max="14594" width="40.7109375" style="4" customWidth="1"/>
    <col min="14595" max="14602" width="10.7109375" style="4" customWidth="1"/>
    <col min="14603" max="14848" width="8.85546875" style="4"/>
    <col min="14849" max="14849" width="1.7109375" style="4" customWidth="1"/>
    <col min="14850" max="14850" width="40.7109375" style="4" customWidth="1"/>
    <col min="14851" max="14858" width="10.7109375" style="4" customWidth="1"/>
    <col min="14859" max="15104" width="8.85546875" style="4"/>
    <col min="15105" max="15105" width="1.7109375" style="4" customWidth="1"/>
    <col min="15106" max="15106" width="40.7109375" style="4" customWidth="1"/>
    <col min="15107" max="15114" width="10.7109375" style="4" customWidth="1"/>
    <col min="15115" max="15360" width="8.85546875" style="4"/>
    <col min="15361" max="15361" width="1.7109375" style="4" customWidth="1"/>
    <col min="15362" max="15362" width="40.7109375" style="4" customWidth="1"/>
    <col min="15363" max="15370" width="10.7109375" style="4" customWidth="1"/>
    <col min="15371" max="15616" width="8.85546875" style="4"/>
    <col min="15617" max="15617" width="1.7109375" style="4" customWidth="1"/>
    <col min="15618" max="15618" width="40.7109375" style="4" customWidth="1"/>
    <col min="15619" max="15626" width="10.7109375" style="4" customWidth="1"/>
    <col min="15627" max="15872" width="8.85546875" style="4"/>
    <col min="15873" max="15873" width="1.7109375" style="4" customWidth="1"/>
    <col min="15874" max="15874" width="40.7109375" style="4" customWidth="1"/>
    <col min="15875" max="15882" width="10.7109375" style="4" customWidth="1"/>
    <col min="15883" max="16128" width="8.85546875" style="4"/>
    <col min="16129" max="16129" width="1.7109375" style="4" customWidth="1"/>
    <col min="16130" max="16130" width="40.7109375" style="4" customWidth="1"/>
    <col min="16131" max="16138" width="10.7109375" style="4" customWidth="1"/>
    <col min="16139" max="16384" width="8.85546875" style="4"/>
  </cols>
  <sheetData>
    <row r="1" spans="1:16" s="2" customFormat="1" ht="19.5" x14ac:dyDescent="0.3">
      <c r="A1" s="299" t="str">
        <f>CoName</f>
        <v>Columbia Sportswear Co.</v>
      </c>
      <c r="B1" s="3"/>
      <c r="C1" s="42" t="s">
        <v>0</v>
      </c>
      <c r="D1" s="42" t="s">
        <v>0</v>
      </c>
      <c r="E1" s="42" t="s">
        <v>0</v>
      </c>
      <c r="F1" s="42" t="s">
        <v>1</v>
      </c>
      <c r="G1" s="42" t="s">
        <v>1</v>
      </c>
      <c r="H1" s="42" t="s">
        <v>1</v>
      </c>
      <c r="I1" s="42" t="s">
        <v>1</v>
      </c>
      <c r="J1" s="42" t="s">
        <v>1</v>
      </c>
      <c r="K1" s="42"/>
      <c r="L1" s="42"/>
      <c r="M1" s="42"/>
      <c r="N1" s="42"/>
      <c r="O1" s="42"/>
    </row>
    <row r="2" spans="1:16" x14ac:dyDescent="0.25">
      <c r="A2" s="22" t="s">
        <v>10</v>
      </c>
      <c r="B2" s="21"/>
      <c r="C2" s="206">
        <v>2022</v>
      </c>
      <c r="D2" s="297">
        <f>C2+1</f>
        <v>2023</v>
      </c>
      <c r="E2" s="297">
        <f t="shared" ref="E2:M2" si="0">D2+1</f>
        <v>2024</v>
      </c>
      <c r="F2" s="297">
        <f t="shared" si="0"/>
        <v>2025</v>
      </c>
      <c r="G2" s="297">
        <f t="shared" si="0"/>
        <v>2026</v>
      </c>
      <c r="H2" s="297">
        <f t="shared" si="0"/>
        <v>2027</v>
      </c>
      <c r="I2" s="297">
        <f t="shared" si="0"/>
        <v>2028</v>
      </c>
      <c r="J2" s="297">
        <f t="shared" si="0"/>
        <v>2029</v>
      </c>
      <c r="K2" s="318"/>
      <c r="L2" s="318"/>
      <c r="M2" s="318"/>
      <c r="N2" s="207"/>
      <c r="O2" s="207"/>
      <c r="P2" s="207"/>
    </row>
    <row r="3" spans="1:16" x14ac:dyDescent="0.25">
      <c r="B3" s="4" t="s">
        <v>11</v>
      </c>
      <c r="C3" s="31"/>
      <c r="D3" s="31"/>
      <c r="E3" s="41"/>
      <c r="F3" s="216">
        <f>Assumptions!F32</f>
        <v>2.3627608383117983E-2</v>
      </c>
      <c r="G3" s="216">
        <f>Assumptions!G32</f>
        <v>2.3627608383117983E-2</v>
      </c>
      <c r="H3" s="216">
        <f>Assumptions!H32</f>
        <v>2.3627608383117983E-2</v>
      </c>
      <c r="I3" s="216">
        <f>Assumptions!I32</f>
        <v>2.3627608383117983E-2</v>
      </c>
      <c r="J3" s="216">
        <f>Assumptions!J32</f>
        <v>2.3627608383117983E-2</v>
      </c>
      <c r="K3" s="320"/>
      <c r="L3" s="320"/>
      <c r="M3" s="320"/>
      <c r="N3" s="214"/>
      <c r="O3" s="214"/>
    </row>
    <row r="4" spans="1:16" x14ac:dyDescent="0.25">
      <c r="B4" s="4" t="s">
        <v>135</v>
      </c>
      <c r="C4" s="31"/>
      <c r="D4" s="31"/>
      <c r="E4" s="41"/>
      <c r="F4" s="216">
        <f>Assumptions!F33</f>
        <v>0.19249445664697631</v>
      </c>
      <c r="G4" s="216">
        <f>F4</f>
        <v>0.19249445664697631</v>
      </c>
      <c r="H4" s="216">
        <f t="shared" ref="H4:J4" si="1">G4</f>
        <v>0.19249445664697631</v>
      </c>
      <c r="I4" s="216">
        <f t="shared" si="1"/>
        <v>0.19249445664697631</v>
      </c>
      <c r="J4" s="216">
        <f t="shared" si="1"/>
        <v>0.19249445664697631</v>
      </c>
      <c r="K4" s="320"/>
      <c r="L4" s="320"/>
      <c r="M4" s="320"/>
      <c r="N4" s="214"/>
      <c r="O4" s="214"/>
    </row>
    <row r="5" spans="1:16" x14ac:dyDescent="0.25">
      <c r="E5" s="29"/>
      <c r="F5" s="79"/>
      <c r="G5" s="67"/>
      <c r="H5" s="85"/>
      <c r="I5" s="67"/>
      <c r="J5" s="67"/>
    </row>
    <row r="6" spans="1:16" x14ac:dyDescent="0.25">
      <c r="B6" s="4" t="s">
        <v>12</v>
      </c>
      <c r="E6" s="29"/>
      <c r="F6" s="4">
        <f>E9</f>
        <v>282908</v>
      </c>
      <c r="G6" s="4">
        <f t="shared" ref="G6:J6" si="2">F9</f>
        <v>306857.94753286883</v>
      </c>
      <c r="H6" s="4">
        <f t="shared" si="2"/>
        <v>326661.89814849314</v>
      </c>
      <c r="I6" s="4">
        <f t="shared" si="2"/>
        <v>343177.99535678083</v>
      </c>
      <c r="J6" s="4">
        <f t="shared" si="2"/>
        <v>357101.41644592927</v>
      </c>
    </row>
    <row r="7" spans="1:16" x14ac:dyDescent="0.25">
      <c r="B7" s="4" t="s">
        <v>13</v>
      </c>
      <c r="C7" s="13"/>
      <c r="D7" s="13"/>
      <c r="E7" s="133"/>
      <c r="F7" s="4">
        <f>F3*IncState!F16</f>
        <v>78408.1692739516</v>
      </c>
      <c r="G7" s="4">
        <f>G3*IncState!G16</f>
        <v>78872.404493770271</v>
      </c>
      <c r="H7" s="4">
        <f>H3*IncState!H16</f>
        <v>79396.701799651782</v>
      </c>
      <c r="I7" s="4">
        <f>I3*IncState!I16</f>
        <v>79983.282838550498</v>
      </c>
      <c r="J7" s="4">
        <f>J3*IncState!J16</f>
        <v>80634.496624688865</v>
      </c>
    </row>
    <row r="8" spans="1:16" x14ac:dyDescent="0.25">
      <c r="B8" s="4" t="s">
        <v>14</v>
      </c>
      <c r="E8" s="29"/>
      <c r="F8" s="4">
        <f>F4*F6</f>
        <v>54458.221741082772</v>
      </c>
      <c r="G8" s="4">
        <f t="shared" ref="G8:J8" si="3">G4*G6</f>
        <v>59068.453878145949</v>
      </c>
      <c r="H8" s="4">
        <f t="shared" si="3"/>
        <v>62880.604591364106</v>
      </c>
      <c r="I8" s="4">
        <f t="shared" si="3"/>
        <v>66059.861749402087</v>
      </c>
      <c r="J8" s="4">
        <f t="shared" si="3"/>
        <v>68740.043126624761</v>
      </c>
    </row>
    <row r="9" spans="1:16" x14ac:dyDescent="0.25">
      <c r="B9" s="4" t="s">
        <v>15</v>
      </c>
      <c r="E9" s="29">
        <f>BalSheet!E22</f>
        <v>282908</v>
      </c>
      <c r="F9" s="4">
        <f>F6+F7-F8</f>
        <v>306857.94753286883</v>
      </c>
      <c r="G9" s="4">
        <f t="shared" ref="G9:J9" si="4">G6+G7-G8</f>
        <v>326661.89814849314</v>
      </c>
      <c r="H9" s="4">
        <f t="shared" si="4"/>
        <v>343177.99535678083</v>
      </c>
      <c r="I9" s="4">
        <f t="shared" si="4"/>
        <v>357101.41644592927</v>
      </c>
      <c r="J9" s="4">
        <f t="shared" si="4"/>
        <v>368995.86994399334</v>
      </c>
    </row>
    <row r="10" spans="1:16" x14ac:dyDescent="0.25">
      <c r="A10" s="22" t="s">
        <v>16</v>
      </c>
      <c r="B10" s="43"/>
      <c r="C10" s="271">
        <f t="shared" ref="C10:M10" si="5">C2</f>
        <v>2022</v>
      </c>
      <c r="D10" s="271">
        <f t="shared" si="5"/>
        <v>2023</v>
      </c>
      <c r="E10" s="271">
        <f t="shared" si="5"/>
        <v>2024</v>
      </c>
      <c r="F10" s="271">
        <f t="shared" si="5"/>
        <v>2025</v>
      </c>
      <c r="G10" s="271">
        <f t="shared" si="5"/>
        <v>2026</v>
      </c>
      <c r="H10" s="271">
        <f t="shared" si="5"/>
        <v>2027</v>
      </c>
      <c r="I10" s="271">
        <f t="shared" si="5"/>
        <v>2028</v>
      </c>
      <c r="J10" s="271">
        <f t="shared" si="5"/>
        <v>2029</v>
      </c>
      <c r="K10" s="321"/>
      <c r="L10" s="321"/>
      <c r="M10" s="321"/>
      <c r="N10" s="209"/>
      <c r="O10" s="209"/>
    </row>
    <row r="11" spans="1:16" x14ac:dyDescent="0.25">
      <c r="B11" s="4" t="s">
        <v>17</v>
      </c>
      <c r="E11" s="29"/>
      <c r="F11" s="300">
        <f>Assumptions!F34</f>
        <v>-313800</v>
      </c>
      <c r="G11" s="300">
        <f>Assumptions!G34</f>
        <v>-313800</v>
      </c>
      <c r="H11" s="300">
        <f>Assumptions!H34</f>
        <v>0</v>
      </c>
      <c r="I11" s="300">
        <f>Assumptions!I34</f>
        <v>0</v>
      </c>
      <c r="J11" s="300">
        <f>Assumptions!J34</f>
        <v>0</v>
      </c>
      <c r="K11" s="322"/>
      <c r="L11" s="322"/>
      <c r="M11" s="322"/>
      <c r="N11" s="215"/>
      <c r="O11" s="215"/>
    </row>
    <row r="12" spans="1:16" x14ac:dyDescent="0.25">
      <c r="E12" s="29"/>
      <c r="F12" s="79"/>
      <c r="G12" s="67"/>
      <c r="H12" s="85"/>
      <c r="I12" s="67"/>
      <c r="J12" s="67"/>
    </row>
    <row r="13" spans="1:16" x14ac:dyDescent="0.25">
      <c r="B13" s="4" t="s">
        <v>18</v>
      </c>
      <c r="E13" s="29"/>
      <c r="F13" s="4">
        <f>E17</f>
        <v>1780039</v>
      </c>
      <c r="G13" s="4">
        <f t="shared" ref="G13:J13" si="6">F17</f>
        <v>1603766.9055860946</v>
      </c>
      <c r="H13" s="4">
        <f t="shared" si="6"/>
        <v>1432166.9279959949</v>
      </c>
      <c r="I13" s="4">
        <f t="shared" si="6"/>
        <v>1575729.6764876815</v>
      </c>
      <c r="J13" s="4">
        <f t="shared" si="6"/>
        <v>1720817.0356760493</v>
      </c>
    </row>
    <row r="14" spans="1:16" x14ac:dyDescent="0.25">
      <c r="B14" s="4" t="s">
        <v>19</v>
      </c>
      <c r="E14" s="29"/>
      <c r="F14" s="4">
        <f>IncState!F34</f>
        <v>203794.4046175174</v>
      </c>
      <c r="G14" s="4">
        <f>IncState!G34</f>
        <v>205001.02047274646</v>
      </c>
      <c r="H14" s="4">
        <f>IncState!H34</f>
        <v>206363.74655453255</v>
      </c>
      <c r="I14" s="4">
        <f>IncState!I34</f>
        <v>207888.35725121398</v>
      </c>
      <c r="J14" s="4">
        <f>IncState!J34</f>
        <v>209580.95799745884</v>
      </c>
    </row>
    <row r="15" spans="1:16" x14ac:dyDescent="0.25">
      <c r="B15" s="4" t="s">
        <v>20</v>
      </c>
      <c r="E15" s="29"/>
      <c r="F15" s="4">
        <f>IncState!F36</f>
        <v>66266.499031423038</v>
      </c>
      <c r="G15" s="4">
        <f>IncState!G36</f>
        <v>62800.998062846076</v>
      </c>
      <c r="H15" s="4">
        <f>IncState!H36</f>
        <v>62800.998062846076</v>
      </c>
      <c r="I15" s="4">
        <f>IncState!I36</f>
        <v>62800.998062846076</v>
      </c>
      <c r="J15" s="4">
        <f>IncState!J36</f>
        <v>62800.998062846076</v>
      </c>
    </row>
    <row r="16" spans="1:16" x14ac:dyDescent="0.25">
      <c r="B16" s="4" t="s">
        <v>21</v>
      </c>
      <c r="E16" s="29"/>
      <c r="F16" s="4">
        <f>-F11</f>
        <v>313800</v>
      </c>
      <c r="G16" s="4">
        <f t="shared" ref="G16:J16" si="7">-G11</f>
        <v>313800</v>
      </c>
      <c r="H16" s="4">
        <f t="shared" si="7"/>
        <v>0</v>
      </c>
      <c r="I16" s="4">
        <f t="shared" si="7"/>
        <v>0</v>
      </c>
      <c r="J16" s="4">
        <f t="shared" si="7"/>
        <v>0</v>
      </c>
    </row>
    <row r="17" spans="1:15" x14ac:dyDescent="0.25">
      <c r="B17" s="4" t="s">
        <v>22</v>
      </c>
      <c r="E17" s="29">
        <f>BalSheet!E38</f>
        <v>1780039</v>
      </c>
      <c r="F17" s="4">
        <f>F13+F14-SUM(F15:F16)</f>
        <v>1603766.9055860946</v>
      </c>
      <c r="G17" s="4">
        <f t="shared" ref="G17:J17" si="8">G13+G14-SUM(G15:G16)</f>
        <v>1432166.9279959949</v>
      </c>
      <c r="H17" s="4">
        <f t="shared" si="8"/>
        <v>1575729.6764876815</v>
      </c>
      <c r="I17" s="4">
        <f t="shared" si="8"/>
        <v>1720817.0356760493</v>
      </c>
      <c r="J17" s="4">
        <f t="shared" si="8"/>
        <v>1867596.995610662</v>
      </c>
    </row>
    <row r="18" spans="1:15" x14ac:dyDescent="0.25">
      <c r="A18" s="22" t="s">
        <v>23</v>
      </c>
      <c r="B18" s="43"/>
      <c r="C18" s="271">
        <f>C10</f>
        <v>2022</v>
      </c>
      <c r="D18" s="271">
        <f t="shared" ref="D18:M18" si="9">D10</f>
        <v>2023</v>
      </c>
      <c r="E18" s="271">
        <f t="shared" si="9"/>
        <v>2024</v>
      </c>
      <c r="F18" s="271">
        <f t="shared" si="9"/>
        <v>2025</v>
      </c>
      <c r="G18" s="271">
        <f t="shared" si="9"/>
        <v>2026</v>
      </c>
      <c r="H18" s="271">
        <f t="shared" si="9"/>
        <v>2027</v>
      </c>
      <c r="I18" s="271">
        <f t="shared" si="9"/>
        <v>2028</v>
      </c>
      <c r="J18" s="271">
        <f t="shared" si="9"/>
        <v>2029</v>
      </c>
      <c r="K18" s="321"/>
      <c r="L18" s="321"/>
      <c r="M18" s="321"/>
      <c r="N18" s="209"/>
      <c r="O18" s="209"/>
    </row>
    <row r="19" spans="1:15" x14ac:dyDescent="0.25">
      <c r="A19" s="88"/>
      <c r="B19" s="182" t="s">
        <v>159</v>
      </c>
      <c r="C19" s="209"/>
      <c r="D19" s="209"/>
      <c r="E19" s="232">
        <f>BalSheet!E15</f>
        <v>98897.671232876717</v>
      </c>
      <c r="F19" s="384">
        <f>BalSheet!F15</f>
        <v>97427.26057407695</v>
      </c>
      <c r="G19" s="384">
        <f>BalSheet!G15</f>
        <v>98004.103091224752</v>
      </c>
      <c r="H19" s="384">
        <f>BalSheet!H15</f>
        <v>98655.576664851149</v>
      </c>
      <c r="I19" s="384">
        <f>BalSheet!I15</f>
        <v>99384.441836092738</v>
      </c>
      <c r="J19" s="384">
        <f>BalSheet!J15</f>
        <v>100193.61740821786</v>
      </c>
      <c r="K19" s="323"/>
      <c r="L19" s="323"/>
      <c r="M19" s="323"/>
      <c r="N19" s="209"/>
      <c r="O19" s="209"/>
    </row>
    <row r="20" spans="1:15" x14ac:dyDescent="0.25">
      <c r="B20" s="4" t="str">
        <f>BalSheet!B18</f>
        <v>Inventories</v>
      </c>
      <c r="D20" s="99"/>
      <c r="E20" s="100">
        <f>BalSheet!E18</f>
        <v>690515</v>
      </c>
      <c r="F20" s="361">
        <f>BalSheet!F18</f>
        <v>680248.42240111728</v>
      </c>
      <c r="G20" s="361">
        <f>BalSheet!G18</f>
        <v>684276.00369562907</v>
      </c>
      <c r="H20" s="361">
        <f>BalSheet!H18</f>
        <v>688824.66767411004</v>
      </c>
      <c r="I20" s="361">
        <f>BalSheet!I18</f>
        <v>693913.68875464448</v>
      </c>
      <c r="J20" s="361">
        <f>BalSheet!J18</f>
        <v>699563.44635985931</v>
      </c>
      <c r="K20" s="324"/>
      <c r="L20" s="324"/>
      <c r="M20" s="324"/>
      <c r="N20" s="99"/>
      <c r="O20" s="99"/>
    </row>
    <row r="21" spans="1:15" x14ac:dyDescent="0.25">
      <c r="B21" s="4" t="str">
        <f>BalSheet!B17</f>
        <v>Accounts receivable</v>
      </c>
      <c r="C21" s="99"/>
      <c r="D21" s="99"/>
      <c r="E21" s="100">
        <f>BalSheet!E17</f>
        <v>417539</v>
      </c>
      <c r="F21" s="361">
        <f>BalSheet!F17</f>
        <v>411331.02979796252</v>
      </c>
      <c r="G21" s="361">
        <f>BalSheet!G17</f>
        <v>413766.41826328071</v>
      </c>
      <c r="H21" s="361">
        <f>BalSheet!H17</f>
        <v>416516.89379083755</v>
      </c>
      <c r="I21" s="361">
        <f>BalSheet!I17</f>
        <v>419594.11119081482</v>
      </c>
      <c r="J21" s="361">
        <f>BalSheet!J17</f>
        <v>423010.39344496396</v>
      </c>
      <c r="K21" s="324"/>
      <c r="L21" s="324"/>
      <c r="M21" s="324"/>
      <c r="N21" s="99"/>
      <c r="O21" s="99"/>
    </row>
    <row r="22" spans="1:15" x14ac:dyDescent="0.25">
      <c r="B22" s="4" t="s">
        <v>71</v>
      </c>
      <c r="C22" s="99"/>
      <c r="D22" s="99"/>
      <c r="E22" s="100">
        <f>BalSheet!E19</f>
        <v>85051</v>
      </c>
      <c r="F22" s="361">
        <f>BalSheet!F19</f>
        <v>83786.461660698784</v>
      </c>
      <c r="G22" s="361">
        <f>BalSheet!G19</f>
        <v>84282.540408705026</v>
      </c>
      <c r="H22" s="361">
        <f>BalSheet!H19</f>
        <v>84842.801112721281</v>
      </c>
      <c r="I22" s="361">
        <f>BalSheet!I19</f>
        <v>85469.617810288371</v>
      </c>
      <c r="J22" s="361">
        <f>BalSheet!J19</f>
        <v>86165.500642784595</v>
      </c>
      <c r="K22" s="324"/>
      <c r="L22" s="324"/>
      <c r="M22" s="324"/>
      <c r="N22" s="99"/>
      <c r="O22" s="99"/>
    </row>
    <row r="23" spans="1:15" x14ac:dyDescent="0.25">
      <c r="B23" s="4" t="s">
        <v>163</v>
      </c>
      <c r="C23" s="99"/>
      <c r="D23" s="99"/>
      <c r="E23" s="100">
        <f>BalSheet!E30</f>
        <v>690688</v>
      </c>
      <c r="F23" s="361">
        <f>BalSheet!F30</f>
        <v>680418.85023697221</v>
      </c>
      <c r="G23" s="361">
        <f>BalSheet!G30</f>
        <v>684447.44059220527</v>
      </c>
      <c r="H23" s="361">
        <f>BalSheet!H30</f>
        <v>688997.24418223451</v>
      </c>
      <c r="I23" s="361">
        <f>BalSheet!I30</f>
        <v>694087.54025411163</v>
      </c>
      <c r="J23" s="361">
        <f>BalSheet!J30</f>
        <v>699738.71333627589</v>
      </c>
      <c r="K23" s="324"/>
      <c r="L23" s="324"/>
      <c r="M23" s="324"/>
      <c r="N23" s="99"/>
      <c r="O23" s="99"/>
    </row>
    <row r="24" spans="1:15" x14ac:dyDescent="0.25">
      <c r="B24" s="4" t="s">
        <v>77</v>
      </c>
      <c r="C24" s="99"/>
      <c r="D24" s="99"/>
      <c r="E24" s="100">
        <f>BalSheet!E31</f>
        <v>75857</v>
      </c>
      <c r="F24" s="361">
        <f>BalSheet!F31</f>
        <v>74729.158060406437</v>
      </c>
      <c r="G24" s="361">
        <f>BalSheet!G31</f>
        <v>75171.610772161846</v>
      </c>
      <c r="H24" s="361">
        <f>BalSheet!H31</f>
        <v>75671.30738036822</v>
      </c>
      <c r="I24" s="361">
        <f>BalSheet!I31</f>
        <v>76230.365289473892</v>
      </c>
      <c r="J24" s="361">
        <f>BalSheet!J31</f>
        <v>76851.023294960789</v>
      </c>
      <c r="K24" s="324"/>
      <c r="L24" s="324"/>
      <c r="M24" s="324"/>
      <c r="N24" s="99"/>
      <c r="O24" s="99"/>
    </row>
    <row r="25" spans="1:15" x14ac:dyDescent="0.25">
      <c r="A25" s="11" t="s">
        <v>124</v>
      </c>
      <c r="B25" s="18" t="s">
        <v>23</v>
      </c>
      <c r="C25" s="19"/>
      <c r="D25" s="19"/>
      <c r="E25" s="19">
        <f>SUM(E19:E22)-SUM(E23:E24)</f>
        <v>525457.67123287683</v>
      </c>
      <c r="F25" s="19">
        <f>SUM(F19:F22)-SUM(F23:F24)</f>
        <v>517645.16613647691</v>
      </c>
      <c r="G25" s="19">
        <f t="shared" ref="G25:J25" si="10">SUM(G19:G22)-SUM(G23:G24)</f>
        <v>520710.01409447263</v>
      </c>
      <c r="H25" s="19">
        <f t="shared" si="10"/>
        <v>524171.38767991716</v>
      </c>
      <c r="I25" s="19">
        <f t="shared" si="10"/>
        <v>528043.95404825499</v>
      </c>
      <c r="J25" s="19">
        <f t="shared" si="10"/>
        <v>532343.22122458904</v>
      </c>
      <c r="K25" s="325"/>
      <c r="L25" s="325"/>
      <c r="M25" s="325"/>
      <c r="N25" s="11"/>
      <c r="O25" s="11"/>
    </row>
    <row r="26" spans="1:15" s="11" customFormat="1" x14ac:dyDescent="0.25">
      <c r="A26" s="26"/>
      <c r="B26" s="11" t="s">
        <v>151</v>
      </c>
      <c r="F26" s="11">
        <f>E25-F25</f>
        <v>7812.5050963999238</v>
      </c>
      <c r="G26" s="11">
        <f t="shared" ref="G26:J26" si="11">F25-G25</f>
        <v>-3064.8479579957202</v>
      </c>
      <c r="H26" s="11">
        <f t="shared" si="11"/>
        <v>-3461.3735854445258</v>
      </c>
      <c r="I26" s="11">
        <f t="shared" si="11"/>
        <v>-3872.566368337837</v>
      </c>
      <c r="J26" s="11">
        <f t="shared" si="11"/>
        <v>-4299.2671763340477</v>
      </c>
      <c r="K26" s="325"/>
      <c r="L26" s="325"/>
      <c r="M26" s="325"/>
    </row>
    <row r="27" spans="1:15" x14ac:dyDescent="0.25">
      <c r="B27" s="67"/>
      <c r="C27" s="67"/>
      <c r="D27" s="67"/>
      <c r="E27" s="67"/>
      <c r="F27" s="67"/>
      <c r="G27" s="67"/>
      <c r="H27" s="85"/>
      <c r="I27" s="67"/>
      <c r="J27" s="67"/>
    </row>
    <row r="28" spans="1:15" x14ac:dyDescent="0.25">
      <c r="H28" s="6"/>
      <c r="I28" s="4"/>
      <c r="J28" s="4"/>
    </row>
    <row r="29" spans="1:15" x14ac:dyDescent="0.25">
      <c r="H29" s="6"/>
      <c r="I29" s="4"/>
      <c r="J29" s="4"/>
    </row>
    <row r="30" spans="1:15" x14ac:dyDescent="0.25">
      <c r="H30" s="6"/>
      <c r="I30" s="4"/>
      <c r="J30" s="4"/>
    </row>
    <row r="31" spans="1:15" x14ac:dyDescent="0.25">
      <c r="H31" s="6"/>
      <c r="I31" s="4"/>
      <c r="J31" s="4"/>
    </row>
    <row r="32" spans="1:15" x14ac:dyDescent="0.25">
      <c r="H32" s="6"/>
      <c r="I32" s="4"/>
      <c r="J32" s="4"/>
    </row>
    <row r="33" spans="8:10" x14ac:dyDescent="0.25">
      <c r="H33" s="6"/>
      <c r="I33" s="4"/>
      <c r="J33" s="4"/>
    </row>
    <row r="34" spans="8:10" x14ac:dyDescent="0.25">
      <c r="H34" s="6"/>
      <c r="I34" s="4"/>
      <c r="J34" s="4"/>
    </row>
    <row r="35" spans="8:10" x14ac:dyDescent="0.25">
      <c r="H35" s="6"/>
      <c r="I35" s="4"/>
      <c r="J35" s="4"/>
    </row>
    <row r="36" spans="8:10" x14ac:dyDescent="0.25">
      <c r="H36" s="6"/>
      <c r="I36" s="4"/>
      <c r="J36" s="4"/>
    </row>
    <row r="37" spans="8:10" x14ac:dyDescent="0.25">
      <c r="H37" s="6"/>
      <c r="I37" s="4"/>
      <c r="J37" s="4"/>
    </row>
    <row r="38" spans="8:10" x14ac:dyDescent="0.25">
      <c r="H38" s="6"/>
      <c r="I38" s="4"/>
      <c r="J38" s="4"/>
    </row>
    <row r="39" spans="8:10" x14ac:dyDescent="0.25">
      <c r="H39" s="6"/>
      <c r="I39" s="4"/>
      <c r="J39" s="4"/>
    </row>
    <row r="40" spans="8:10" x14ac:dyDescent="0.25">
      <c r="H40" s="6"/>
      <c r="I40" s="4"/>
      <c r="J40" s="4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autoPageBreaks="0" fitToPage="1"/>
  </sheetPr>
  <dimension ref="A1:P34"/>
  <sheetViews>
    <sheetView showGridLines="0" zoomScaleNormal="100" workbookViewId="0">
      <selection activeCell="E27" sqref="E27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8" width="11.7109375" style="4" customWidth="1"/>
    <col min="9" max="10" width="11.7109375" style="6" customWidth="1"/>
    <col min="11" max="13" width="11.7109375" style="310" customWidth="1"/>
    <col min="14" max="15" width="11.42578125" style="4" customWidth="1"/>
    <col min="16" max="256" width="8.85546875" style="4"/>
    <col min="257" max="257" width="1.7109375" style="4" customWidth="1"/>
    <col min="258" max="258" width="40.71093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0.71093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0.71093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0.71093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0.71093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0.71093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0.71093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0.71093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0.71093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0.71093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0.71093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0.71093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0.71093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0.71093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0.71093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0.71093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0.71093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0.71093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0.71093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0.71093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0.71093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0.71093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0.71093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0.71093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0.71093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0.71093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0.71093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0.71093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0.71093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0.71093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0.71093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0.71093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0.71093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0.71093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0.71093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0.71093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0.71093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0.71093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0.71093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0.71093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0.71093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0.71093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0.71093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0.71093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0.71093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0.71093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0.71093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0.71093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0.71093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0.71093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0.71093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0.71093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0.71093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0.71093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0.71093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0.71093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0.71093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0.71093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0.71093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0.71093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0.71093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0.71093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0.71093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6" s="2" customFormat="1" ht="19.5" x14ac:dyDescent="0.3">
      <c r="A1" s="299" t="str">
        <f>CoName</f>
        <v>Columbia Sportswear Co.</v>
      </c>
      <c r="B1" s="3"/>
      <c r="C1" s="42" t="s">
        <v>0</v>
      </c>
      <c r="D1" s="42" t="s">
        <v>0</v>
      </c>
      <c r="E1" s="42" t="s">
        <v>0</v>
      </c>
      <c r="F1" s="42" t="s">
        <v>1</v>
      </c>
      <c r="G1" s="42" t="s">
        <v>1</v>
      </c>
      <c r="H1" s="42" t="s">
        <v>1</v>
      </c>
      <c r="I1" s="42" t="s">
        <v>1</v>
      </c>
      <c r="J1" s="42" t="s">
        <v>1</v>
      </c>
      <c r="K1" s="42"/>
      <c r="L1" s="42"/>
      <c r="M1" s="42"/>
      <c r="N1" s="42"/>
      <c r="O1" s="42"/>
    </row>
    <row r="2" spans="1:16" s="2" customFormat="1" x14ac:dyDescent="0.25">
      <c r="A2" s="17" t="s">
        <v>9</v>
      </c>
      <c r="B2" s="208"/>
      <c r="C2" s="109">
        <v>44926</v>
      </c>
      <c r="D2" s="109">
        <v>45291</v>
      </c>
      <c r="E2" s="109">
        <v>45657</v>
      </c>
      <c r="F2" s="109">
        <v>46022</v>
      </c>
      <c r="G2" s="109">
        <v>46387</v>
      </c>
      <c r="H2" s="109">
        <v>46752</v>
      </c>
      <c r="I2" s="109">
        <v>47118</v>
      </c>
      <c r="J2" s="109">
        <v>47483</v>
      </c>
      <c r="K2" s="326"/>
      <c r="L2" s="326"/>
      <c r="M2" s="326"/>
      <c r="N2" s="217"/>
      <c r="O2" s="217"/>
    </row>
    <row r="3" spans="1:16" s="2" customFormat="1" x14ac:dyDescent="0.25">
      <c r="A3" s="88"/>
      <c r="B3" s="11"/>
      <c r="C3" s="209"/>
      <c r="D3" s="209"/>
      <c r="E3" s="209"/>
      <c r="F3" s="209"/>
      <c r="G3" s="209"/>
      <c r="H3" s="209"/>
      <c r="I3" s="209"/>
      <c r="J3" s="209"/>
      <c r="K3" s="326"/>
      <c r="L3" s="326"/>
      <c r="M3" s="326"/>
      <c r="N3" s="217"/>
      <c r="O3" s="217"/>
    </row>
    <row r="4" spans="1:16" s="2" customFormat="1" x14ac:dyDescent="0.25">
      <c r="A4" s="11"/>
      <c r="B4" s="4" t="s">
        <v>24</v>
      </c>
      <c r="C4" s="32"/>
      <c r="D4" s="57"/>
      <c r="E4" s="61"/>
      <c r="F4" s="113">
        <f>Assumptions!F23</f>
        <v>0</v>
      </c>
      <c r="G4" s="113">
        <f>Assumptions!G23</f>
        <v>0</v>
      </c>
      <c r="H4" s="113">
        <f>Assumptions!H23</f>
        <v>0</v>
      </c>
      <c r="I4" s="113">
        <f>Assumptions!I23</f>
        <v>0</v>
      </c>
      <c r="J4" s="113">
        <f>Assumptions!J23</f>
        <v>0</v>
      </c>
      <c r="K4" s="311"/>
      <c r="L4" s="311"/>
      <c r="M4" s="311"/>
      <c r="N4" s="31"/>
      <c r="O4" s="31"/>
    </row>
    <row r="5" spans="1:16" s="2" customFormat="1" x14ac:dyDescent="0.25">
      <c r="A5" s="11"/>
      <c r="B5" s="4" t="s">
        <v>25</v>
      </c>
      <c r="C5" s="32"/>
      <c r="D5" s="58"/>
      <c r="E5" s="62"/>
      <c r="F5" s="113">
        <f>Assumptions!F24</f>
        <v>0</v>
      </c>
      <c r="G5" s="113">
        <f>Assumptions!G24</f>
        <v>0</v>
      </c>
      <c r="H5" s="113">
        <f>Assumptions!H24</f>
        <v>0</v>
      </c>
      <c r="I5" s="113">
        <f>Assumptions!I24</f>
        <v>0</v>
      </c>
      <c r="J5" s="113">
        <f>Assumptions!J24</f>
        <v>0</v>
      </c>
      <c r="K5" s="311"/>
      <c r="L5" s="311"/>
      <c r="M5" s="311"/>
      <c r="N5" s="31"/>
      <c r="O5" s="31"/>
    </row>
    <row r="6" spans="1:16" s="2" customFormat="1" x14ac:dyDescent="0.25">
      <c r="A6" s="11"/>
      <c r="B6" s="4" t="s">
        <v>26</v>
      </c>
      <c r="C6" s="32"/>
      <c r="D6" s="57"/>
      <c r="E6" s="61"/>
      <c r="F6" s="113">
        <f>Assumptions!F25</f>
        <v>3.866006021644957E-2</v>
      </c>
      <c r="G6" s="113">
        <f>Assumptions!G25</f>
        <v>3.866006021644957E-2</v>
      </c>
      <c r="H6" s="113">
        <f>Assumptions!H25</f>
        <v>3.866006021644957E-2</v>
      </c>
      <c r="I6" s="113">
        <f>Assumptions!I25</f>
        <v>3.866006021644957E-2</v>
      </c>
      <c r="J6" s="113">
        <f>Assumptions!J25</f>
        <v>3.866006021644957E-2</v>
      </c>
      <c r="K6" s="311"/>
      <c r="L6" s="311"/>
      <c r="M6" s="311"/>
      <c r="N6" s="31"/>
      <c r="O6" s="31"/>
    </row>
    <row r="7" spans="1:16" s="2" customFormat="1" x14ac:dyDescent="0.25">
      <c r="A7" s="11"/>
      <c r="B7" s="4"/>
      <c r="C7" s="32"/>
      <c r="D7" s="32"/>
      <c r="E7" s="32"/>
      <c r="F7" s="111"/>
      <c r="G7" s="111"/>
      <c r="H7" s="111"/>
      <c r="I7" s="112"/>
      <c r="J7" s="112"/>
      <c r="K7" s="327"/>
      <c r="L7" s="327"/>
      <c r="M7" s="327"/>
      <c r="N7" s="218"/>
      <c r="O7" s="218"/>
    </row>
    <row r="8" spans="1:16" s="2" customFormat="1" x14ac:dyDescent="0.25">
      <c r="A8" s="11"/>
      <c r="B8" s="4" t="s">
        <v>27</v>
      </c>
      <c r="C8" s="32"/>
      <c r="D8" s="59"/>
      <c r="E8" s="63"/>
      <c r="F8" s="114">
        <f>Assumptions!F27</f>
        <v>13600</v>
      </c>
      <c r="G8" s="114">
        <f>Assumptions!G27</f>
        <v>0</v>
      </c>
      <c r="H8" s="114">
        <f>Assumptions!H27</f>
        <v>0</v>
      </c>
      <c r="I8" s="114">
        <f>Assumptions!I27</f>
        <v>0</v>
      </c>
      <c r="J8" s="114">
        <f>Assumptions!J27</f>
        <v>0</v>
      </c>
      <c r="K8" s="328"/>
      <c r="L8" s="328"/>
      <c r="M8" s="328"/>
      <c r="N8" s="219"/>
      <c r="O8" s="219"/>
    </row>
    <row r="9" spans="1:16" s="2" customFormat="1" x14ac:dyDescent="0.25">
      <c r="A9" s="11"/>
      <c r="B9" s="4" t="s">
        <v>28</v>
      </c>
      <c r="C9" s="32"/>
      <c r="D9" s="59"/>
      <c r="E9" s="63"/>
      <c r="F9" s="114">
        <f>Assumptions!F28</f>
        <v>0</v>
      </c>
      <c r="G9" s="114">
        <f>Assumptions!G28</f>
        <v>0</v>
      </c>
      <c r="H9" s="114">
        <f>Assumptions!H28</f>
        <v>0</v>
      </c>
      <c r="I9" s="114">
        <f>Assumptions!I28</f>
        <v>0</v>
      </c>
      <c r="J9" s="221">
        <f>Assumptions!J28</f>
        <v>0</v>
      </c>
      <c r="K9" s="328"/>
      <c r="L9" s="328"/>
      <c r="M9" s="328"/>
      <c r="N9" s="219"/>
      <c r="O9" s="219"/>
    </row>
    <row r="10" spans="1:16" s="2" customFormat="1" ht="18.75" x14ac:dyDescent="0.3">
      <c r="A10" s="34"/>
      <c r="B10" s="3"/>
      <c r="C10" s="54"/>
      <c r="D10" s="54"/>
      <c r="E10" s="54"/>
      <c r="F10" s="110"/>
      <c r="G10" s="110"/>
      <c r="H10" s="110"/>
      <c r="I10" s="110"/>
      <c r="J10" s="110"/>
      <c r="K10" s="54"/>
      <c r="L10" s="54"/>
      <c r="M10" s="54"/>
      <c r="N10" s="54"/>
      <c r="O10" s="54"/>
    </row>
    <row r="11" spans="1:16" x14ac:dyDescent="0.25">
      <c r="A11" s="22" t="s">
        <v>29</v>
      </c>
      <c r="B11" s="55"/>
      <c r="C11" s="159">
        <f>C2</f>
        <v>44926</v>
      </c>
      <c r="D11" s="159">
        <f t="shared" ref="D11:J11" si="0">D2</f>
        <v>45291</v>
      </c>
      <c r="E11" s="159">
        <f t="shared" si="0"/>
        <v>45657</v>
      </c>
      <c r="F11" s="159">
        <f t="shared" si="0"/>
        <v>46022</v>
      </c>
      <c r="G11" s="159">
        <f t="shared" si="0"/>
        <v>46387</v>
      </c>
      <c r="H11" s="159">
        <f t="shared" si="0"/>
        <v>46752</v>
      </c>
      <c r="I11" s="159">
        <f t="shared" si="0"/>
        <v>47118</v>
      </c>
      <c r="J11" s="159">
        <f t="shared" si="0"/>
        <v>47483</v>
      </c>
      <c r="K11" s="220"/>
      <c r="L11" s="220"/>
      <c r="M11" s="220"/>
      <c r="N11" s="220"/>
      <c r="O11" s="220"/>
      <c r="P11" s="48"/>
    </row>
    <row r="12" spans="1:16" x14ac:dyDescent="0.25">
      <c r="B12" s="4" t="s">
        <v>30</v>
      </c>
      <c r="E12" s="29"/>
      <c r="F12" s="4" t="s">
        <v>220</v>
      </c>
      <c r="I12" s="4"/>
      <c r="J12" s="4"/>
      <c r="P12" s="48"/>
    </row>
    <row r="13" spans="1:16" x14ac:dyDescent="0.25">
      <c r="B13" s="4" t="s">
        <v>31</v>
      </c>
      <c r="E13" s="30"/>
      <c r="I13" s="4"/>
      <c r="J13" s="4"/>
      <c r="P13" s="48"/>
    </row>
    <row r="14" spans="1:16" x14ac:dyDescent="0.25">
      <c r="B14" s="4" t="s">
        <v>32</v>
      </c>
      <c r="E14" s="29"/>
      <c r="I14" s="4"/>
      <c r="J14" s="4"/>
      <c r="P14" s="48"/>
    </row>
    <row r="15" spans="1:16" x14ac:dyDescent="0.25">
      <c r="E15" s="29"/>
      <c r="I15" s="4"/>
      <c r="J15" s="4"/>
      <c r="P15" s="48"/>
    </row>
    <row r="16" spans="1:16" x14ac:dyDescent="0.25">
      <c r="A16" s="306" t="s">
        <v>33</v>
      </c>
      <c r="B16" s="21"/>
      <c r="C16" s="56">
        <f t="shared" ref="C16:M16" si="1">C11</f>
        <v>44926</v>
      </c>
      <c r="D16" s="56">
        <f t="shared" si="1"/>
        <v>45291</v>
      </c>
      <c r="E16" s="56">
        <f t="shared" si="1"/>
        <v>45657</v>
      </c>
      <c r="F16" s="56">
        <f t="shared" si="1"/>
        <v>46022</v>
      </c>
      <c r="G16" s="56">
        <f t="shared" si="1"/>
        <v>46387</v>
      </c>
      <c r="H16" s="56">
        <f t="shared" si="1"/>
        <v>46752</v>
      </c>
      <c r="I16" s="56">
        <f t="shared" si="1"/>
        <v>47118</v>
      </c>
      <c r="J16" s="56">
        <f t="shared" si="1"/>
        <v>47483</v>
      </c>
      <c r="K16" s="326"/>
      <c r="L16" s="326"/>
      <c r="M16" s="326"/>
      <c r="N16" s="217"/>
      <c r="O16" s="217"/>
      <c r="P16" s="48"/>
    </row>
    <row r="17" spans="1:16" x14ac:dyDescent="0.25">
      <c r="B17" s="4" t="s">
        <v>18</v>
      </c>
      <c r="E17" s="29"/>
      <c r="F17" s="4">
        <f>E20</f>
        <v>0</v>
      </c>
      <c r="G17" s="4">
        <f t="shared" ref="G17:J17" si="2">F20</f>
        <v>13600</v>
      </c>
      <c r="H17" s="4">
        <f t="shared" si="2"/>
        <v>13600</v>
      </c>
      <c r="I17" s="4">
        <f t="shared" si="2"/>
        <v>13600</v>
      </c>
      <c r="J17" s="4">
        <f t="shared" si="2"/>
        <v>13600</v>
      </c>
      <c r="P17" s="48"/>
    </row>
    <row r="18" spans="1:16" x14ac:dyDescent="0.25">
      <c r="B18" s="4" t="s">
        <v>34</v>
      </c>
      <c r="E18" s="29"/>
      <c r="F18" s="4">
        <f>F8</f>
        <v>13600</v>
      </c>
      <c r="G18" s="4">
        <f t="shared" ref="G18:J18" si="3">G8</f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P18" s="48"/>
    </row>
    <row r="19" spans="1:16" x14ac:dyDescent="0.25">
      <c r="B19" s="4" t="s">
        <v>35</v>
      </c>
      <c r="E19" s="29"/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6" x14ac:dyDescent="0.25">
      <c r="B20" s="4" t="s">
        <v>22</v>
      </c>
      <c r="C20" s="10"/>
      <c r="E20" s="29">
        <f>BalSheet!E34</f>
        <v>0</v>
      </c>
      <c r="F20" s="4">
        <f>F17+F18-F19</f>
        <v>13600</v>
      </c>
      <c r="G20" s="4">
        <f t="shared" ref="G20:J20" si="4">G17+G18-G19</f>
        <v>13600</v>
      </c>
      <c r="H20" s="4">
        <f t="shared" si="4"/>
        <v>13600</v>
      </c>
      <c r="I20" s="4">
        <f t="shared" si="4"/>
        <v>13600</v>
      </c>
      <c r="J20" s="4">
        <f t="shared" si="4"/>
        <v>13600</v>
      </c>
    </row>
    <row r="21" spans="1:16" x14ac:dyDescent="0.25">
      <c r="B21" s="4" t="s">
        <v>31</v>
      </c>
      <c r="D21" s="49"/>
      <c r="E21" s="29"/>
      <c r="F21" s="8" t="s">
        <v>233</v>
      </c>
      <c r="G21" s="8"/>
      <c r="H21" s="8"/>
      <c r="I21" s="8"/>
      <c r="J21" s="8"/>
      <c r="K21" s="329"/>
      <c r="L21" s="329"/>
      <c r="M21" s="329"/>
    </row>
    <row r="22" spans="1:16" x14ac:dyDescent="0.25">
      <c r="B22" s="4" t="s">
        <v>32</v>
      </c>
      <c r="E22" s="29"/>
      <c r="F22" s="8" t="s">
        <v>233</v>
      </c>
      <c r="I22" s="4"/>
      <c r="J22" s="4"/>
    </row>
    <row r="23" spans="1:16" x14ac:dyDescent="0.25">
      <c r="E23" s="29"/>
      <c r="I23" s="4"/>
      <c r="J23" s="4"/>
    </row>
    <row r="24" spans="1:16" x14ac:dyDescent="0.25">
      <c r="A24" s="22" t="s">
        <v>36</v>
      </c>
      <c r="B24" s="43"/>
      <c r="C24" s="56">
        <f>C16</f>
        <v>44926</v>
      </c>
      <c r="D24" s="56">
        <f t="shared" ref="D24:J24" si="5">D16</f>
        <v>45291</v>
      </c>
      <c r="E24" s="56">
        <f t="shared" si="5"/>
        <v>45657</v>
      </c>
      <c r="F24" s="56">
        <f t="shared" si="5"/>
        <v>46022</v>
      </c>
      <c r="G24" s="56">
        <f t="shared" si="5"/>
        <v>46387</v>
      </c>
      <c r="H24" s="56">
        <f t="shared" si="5"/>
        <v>46752</v>
      </c>
      <c r="I24" s="56">
        <f t="shared" si="5"/>
        <v>47118</v>
      </c>
      <c r="J24" s="56">
        <f t="shared" si="5"/>
        <v>47483</v>
      </c>
      <c r="K24" s="326"/>
      <c r="L24" s="326"/>
      <c r="M24" s="326"/>
      <c r="N24" s="217"/>
      <c r="O24" s="217"/>
    </row>
    <row r="25" spans="1:16" x14ac:dyDescent="0.25">
      <c r="A25" s="7"/>
      <c r="B25" s="4" t="s">
        <v>29</v>
      </c>
      <c r="E25" s="29"/>
      <c r="F25" s="4" t="str">
        <f>F12</f>
        <v>NO REVOLVER</v>
      </c>
      <c r="I25" s="4"/>
      <c r="J25" s="4"/>
    </row>
    <row r="26" spans="1:16" x14ac:dyDescent="0.25">
      <c r="A26" s="7"/>
      <c r="B26" s="4" t="s">
        <v>37</v>
      </c>
      <c r="E26" s="29"/>
      <c r="F26" s="4" t="str">
        <f>F22</f>
        <v>ROU, no interest</v>
      </c>
      <c r="I26" s="4"/>
      <c r="J26" s="4"/>
    </row>
    <row r="27" spans="1:16" x14ac:dyDescent="0.25">
      <c r="A27" s="7"/>
      <c r="B27" s="11" t="s">
        <v>38</v>
      </c>
      <c r="D27" s="11"/>
      <c r="E27" s="26">
        <f>BalSheet!E34</f>
        <v>0</v>
      </c>
      <c r="F27" s="11">
        <f>BalSheet!F34</f>
        <v>13600</v>
      </c>
      <c r="G27" s="11"/>
      <c r="H27" s="11"/>
      <c r="I27" s="11"/>
      <c r="J27" s="11"/>
      <c r="K27" s="325"/>
      <c r="L27" s="325"/>
      <c r="M27" s="325"/>
      <c r="N27" s="11"/>
      <c r="O27" s="11"/>
    </row>
    <row r="28" spans="1:16" x14ac:dyDescent="0.25">
      <c r="A28" s="7"/>
      <c r="B28" s="4" t="s">
        <v>39</v>
      </c>
      <c r="E28" s="29"/>
      <c r="F28" s="4" t="s">
        <v>234</v>
      </c>
      <c r="I28" s="4"/>
      <c r="J28" s="4"/>
    </row>
    <row r="29" spans="1:16" x14ac:dyDescent="0.25">
      <c r="A29" s="7"/>
      <c r="E29" s="29"/>
      <c r="I29" s="4"/>
      <c r="J29" s="4"/>
    </row>
    <row r="30" spans="1:16" x14ac:dyDescent="0.25">
      <c r="A30" s="22" t="s">
        <v>40</v>
      </c>
      <c r="B30" s="43"/>
      <c r="C30" s="56">
        <f>C11</f>
        <v>44926</v>
      </c>
      <c r="D30" s="56">
        <f t="shared" ref="D30:J30" si="6">D11</f>
        <v>45291</v>
      </c>
      <c r="E30" s="56">
        <f t="shared" si="6"/>
        <v>45657</v>
      </c>
      <c r="F30" s="56">
        <f t="shared" si="6"/>
        <v>46022</v>
      </c>
      <c r="G30" s="56">
        <f t="shared" si="6"/>
        <v>46387</v>
      </c>
      <c r="H30" s="56">
        <f t="shared" si="6"/>
        <v>46752</v>
      </c>
      <c r="I30" s="56">
        <f t="shared" si="6"/>
        <v>47118</v>
      </c>
      <c r="J30" s="56">
        <f t="shared" si="6"/>
        <v>47483</v>
      </c>
      <c r="K30" s="326"/>
      <c r="L30" s="326"/>
      <c r="M30" s="326"/>
      <c r="N30" s="217"/>
      <c r="O30" s="217"/>
    </row>
    <row r="31" spans="1:16" x14ac:dyDescent="0.25">
      <c r="A31" s="7"/>
      <c r="B31" s="4" t="s">
        <v>169</v>
      </c>
      <c r="E31" s="29"/>
      <c r="F31" s="4">
        <f>BalSheet!F16</f>
        <v>539987.78541381075</v>
      </c>
      <c r="I31" s="4"/>
      <c r="J31" s="4"/>
    </row>
    <row r="32" spans="1:16" x14ac:dyDescent="0.25">
      <c r="B32" s="4" t="s">
        <v>31</v>
      </c>
      <c r="D32" s="49"/>
      <c r="E32" s="25"/>
      <c r="F32" s="5">
        <f>F6</f>
        <v>3.866006021644957E-2</v>
      </c>
      <c r="G32" s="5"/>
      <c r="H32" s="5"/>
      <c r="I32" s="5"/>
      <c r="J32" s="5"/>
      <c r="K32" s="181"/>
      <c r="L32" s="181"/>
      <c r="M32" s="181"/>
      <c r="N32" s="181"/>
      <c r="O32" s="181"/>
    </row>
    <row r="33" spans="2:10" x14ac:dyDescent="0.25">
      <c r="B33" s="4" t="s">
        <v>40</v>
      </c>
      <c r="E33" s="29"/>
      <c r="F33" s="4">
        <f>F31*F32</f>
        <v>20875.960300245173</v>
      </c>
      <c r="I33" s="4"/>
      <c r="J33" s="4"/>
    </row>
    <row r="34" spans="2:10" x14ac:dyDescent="0.25">
      <c r="E34" s="29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autoPageBreaks="0" fitToPage="1"/>
  </sheetPr>
  <dimension ref="A1:O43"/>
  <sheetViews>
    <sheetView showGridLines="0" zoomScaleNormal="100" workbookViewId="0">
      <selection activeCell="F29" sqref="F29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7" width="11.7109375" style="4" customWidth="1"/>
    <col min="8" max="8" width="11.7109375" style="6" customWidth="1"/>
    <col min="9" max="10" width="11.7109375" style="4" customWidth="1"/>
    <col min="11" max="13" width="11.7109375" style="310" customWidth="1"/>
    <col min="14" max="15" width="12" style="4" customWidth="1"/>
    <col min="16" max="256" width="8.85546875" style="4"/>
    <col min="257" max="257" width="1.7109375" style="4" customWidth="1"/>
    <col min="258" max="258" width="40.7109375" style="4" customWidth="1"/>
    <col min="259" max="263" width="10.7109375" style="4" customWidth="1"/>
    <col min="264" max="264" width="11.42578125" style="4" customWidth="1"/>
    <col min="265" max="266" width="12" style="4" customWidth="1"/>
    <col min="267" max="268" width="8.85546875" style="4"/>
    <col min="269" max="269" width="10.7109375" style="4" bestFit="1" customWidth="1"/>
    <col min="270" max="512" width="8.85546875" style="4"/>
    <col min="513" max="513" width="1.7109375" style="4" customWidth="1"/>
    <col min="514" max="514" width="40.7109375" style="4" customWidth="1"/>
    <col min="515" max="519" width="10.7109375" style="4" customWidth="1"/>
    <col min="520" max="520" width="11.42578125" style="4" customWidth="1"/>
    <col min="521" max="522" width="12" style="4" customWidth="1"/>
    <col min="523" max="524" width="8.85546875" style="4"/>
    <col min="525" max="525" width="10.7109375" style="4" bestFit="1" customWidth="1"/>
    <col min="526" max="768" width="8.85546875" style="4"/>
    <col min="769" max="769" width="1.7109375" style="4" customWidth="1"/>
    <col min="770" max="770" width="40.7109375" style="4" customWidth="1"/>
    <col min="771" max="775" width="10.7109375" style="4" customWidth="1"/>
    <col min="776" max="776" width="11.42578125" style="4" customWidth="1"/>
    <col min="777" max="778" width="12" style="4" customWidth="1"/>
    <col min="779" max="780" width="8.85546875" style="4"/>
    <col min="781" max="781" width="10.7109375" style="4" bestFit="1" customWidth="1"/>
    <col min="782" max="1024" width="8.85546875" style="4"/>
    <col min="1025" max="1025" width="1.7109375" style="4" customWidth="1"/>
    <col min="1026" max="1026" width="40.7109375" style="4" customWidth="1"/>
    <col min="1027" max="1031" width="10.7109375" style="4" customWidth="1"/>
    <col min="1032" max="1032" width="11.42578125" style="4" customWidth="1"/>
    <col min="1033" max="1034" width="12" style="4" customWidth="1"/>
    <col min="1035" max="1036" width="8.85546875" style="4"/>
    <col min="1037" max="1037" width="10.7109375" style="4" bestFit="1" customWidth="1"/>
    <col min="1038" max="1280" width="8.85546875" style="4"/>
    <col min="1281" max="1281" width="1.7109375" style="4" customWidth="1"/>
    <col min="1282" max="1282" width="40.7109375" style="4" customWidth="1"/>
    <col min="1283" max="1287" width="10.7109375" style="4" customWidth="1"/>
    <col min="1288" max="1288" width="11.42578125" style="4" customWidth="1"/>
    <col min="1289" max="1290" width="12" style="4" customWidth="1"/>
    <col min="1291" max="1292" width="8.85546875" style="4"/>
    <col min="1293" max="1293" width="10.7109375" style="4" bestFit="1" customWidth="1"/>
    <col min="1294" max="1536" width="8.85546875" style="4"/>
    <col min="1537" max="1537" width="1.7109375" style="4" customWidth="1"/>
    <col min="1538" max="1538" width="40.7109375" style="4" customWidth="1"/>
    <col min="1539" max="1543" width="10.7109375" style="4" customWidth="1"/>
    <col min="1544" max="1544" width="11.42578125" style="4" customWidth="1"/>
    <col min="1545" max="1546" width="12" style="4" customWidth="1"/>
    <col min="1547" max="1548" width="8.85546875" style="4"/>
    <col min="1549" max="1549" width="10.7109375" style="4" bestFit="1" customWidth="1"/>
    <col min="1550" max="1792" width="8.85546875" style="4"/>
    <col min="1793" max="1793" width="1.7109375" style="4" customWidth="1"/>
    <col min="1794" max="1794" width="40.7109375" style="4" customWidth="1"/>
    <col min="1795" max="1799" width="10.7109375" style="4" customWidth="1"/>
    <col min="1800" max="1800" width="11.42578125" style="4" customWidth="1"/>
    <col min="1801" max="1802" width="12" style="4" customWidth="1"/>
    <col min="1803" max="1804" width="8.85546875" style="4"/>
    <col min="1805" max="1805" width="10.7109375" style="4" bestFit="1" customWidth="1"/>
    <col min="1806" max="2048" width="8.85546875" style="4"/>
    <col min="2049" max="2049" width="1.7109375" style="4" customWidth="1"/>
    <col min="2050" max="2050" width="40.7109375" style="4" customWidth="1"/>
    <col min="2051" max="2055" width="10.7109375" style="4" customWidth="1"/>
    <col min="2056" max="2056" width="11.42578125" style="4" customWidth="1"/>
    <col min="2057" max="2058" width="12" style="4" customWidth="1"/>
    <col min="2059" max="2060" width="8.85546875" style="4"/>
    <col min="2061" max="2061" width="10.7109375" style="4" bestFit="1" customWidth="1"/>
    <col min="2062" max="2304" width="8.85546875" style="4"/>
    <col min="2305" max="2305" width="1.7109375" style="4" customWidth="1"/>
    <col min="2306" max="2306" width="40.7109375" style="4" customWidth="1"/>
    <col min="2307" max="2311" width="10.7109375" style="4" customWidth="1"/>
    <col min="2312" max="2312" width="11.42578125" style="4" customWidth="1"/>
    <col min="2313" max="2314" width="12" style="4" customWidth="1"/>
    <col min="2315" max="2316" width="8.85546875" style="4"/>
    <col min="2317" max="2317" width="10.7109375" style="4" bestFit="1" customWidth="1"/>
    <col min="2318" max="2560" width="8.85546875" style="4"/>
    <col min="2561" max="2561" width="1.7109375" style="4" customWidth="1"/>
    <col min="2562" max="2562" width="40.7109375" style="4" customWidth="1"/>
    <col min="2563" max="2567" width="10.7109375" style="4" customWidth="1"/>
    <col min="2568" max="2568" width="11.42578125" style="4" customWidth="1"/>
    <col min="2569" max="2570" width="12" style="4" customWidth="1"/>
    <col min="2571" max="2572" width="8.85546875" style="4"/>
    <col min="2573" max="2573" width="10.7109375" style="4" bestFit="1" customWidth="1"/>
    <col min="2574" max="2816" width="8.85546875" style="4"/>
    <col min="2817" max="2817" width="1.7109375" style="4" customWidth="1"/>
    <col min="2818" max="2818" width="40.7109375" style="4" customWidth="1"/>
    <col min="2819" max="2823" width="10.7109375" style="4" customWidth="1"/>
    <col min="2824" max="2824" width="11.42578125" style="4" customWidth="1"/>
    <col min="2825" max="2826" width="12" style="4" customWidth="1"/>
    <col min="2827" max="2828" width="8.85546875" style="4"/>
    <col min="2829" max="2829" width="10.7109375" style="4" bestFit="1" customWidth="1"/>
    <col min="2830" max="3072" width="8.85546875" style="4"/>
    <col min="3073" max="3073" width="1.7109375" style="4" customWidth="1"/>
    <col min="3074" max="3074" width="40.7109375" style="4" customWidth="1"/>
    <col min="3075" max="3079" width="10.7109375" style="4" customWidth="1"/>
    <col min="3080" max="3080" width="11.42578125" style="4" customWidth="1"/>
    <col min="3081" max="3082" width="12" style="4" customWidth="1"/>
    <col min="3083" max="3084" width="8.85546875" style="4"/>
    <col min="3085" max="3085" width="10.7109375" style="4" bestFit="1" customWidth="1"/>
    <col min="3086" max="3328" width="8.85546875" style="4"/>
    <col min="3329" max="3329" width="1.7109375" style="4" customWidth="1"/>
    <col min="3330" max="3330" width="40.7109375" style="4" customWidth="1"/>
    <col min="3331" max="3335" width="10.7109375" style="4" customWidth="1"/>
    <col min="3336" max="3336" width="11.42578125" style="4" customWidth="1"/>
    <col min="3337" max="3338" width="12" style="4" customWidth="1"/>
    <col min="3339" max="3340" width="8.85546875" style="4"/>
    <col min="3341" max="3341" width="10.7109375" style="4" bestFit="1" customWidth="1"/>
    <col min="3342" max="3584" width="8.85546875" style="4"/>
    <col min="3585" max="3585" width="1.7109375" style="4" customWidth="1"/>
    <col min="3586" max="3586" width="40.7109375" style="4" customWidth="1"/>
    <col min="3587" max="3591" width="10.7109375" style="4" customWidth="1"/>
    <col min="3592" max="3592" width="11.42578125" style="4" customWidth="1"/>
    <col min="3593" max="3594" width="12" style="4" customWidth="1"/>
    <col min="3595" max="3596" width="8.85546875" style="4"/>
    <col min="3597" max="3597" width="10.7109375" style="4" bestFit="1" customWidth="1"/>
    <col min="3598" max="3840" width="8.85546875" style="4"/>
    <col min="3841" max="3841" width="1.7109375" style="4" customWidth="1"/>
    <col min="3842" max="3842" width="40.7109375" style="4" customWidth="1"/>
    <col min="3843" max="3847" width="10.7109375" style="4" customWidth="1"/>
    <col min="3848" max="3848" width="11.42578125" style="4" customWidth="1"/>
    <col min="3849" max="3850" width="12" style="4" customWidth="1"/>
    <col min="3851" max="3852" width="8.85546875" style="4"/>
    <col min="3853" max="3853" width="10.7109375" style="4" bestFit="1" customWidth="1"/>
    <col min="3854" max="4096" width="8.85546875" style="4"/>
    <col min="4097" max="4097" width="1.7109375" style="4" customWidth="1"/>
    <col min="4098" max="4098" width="40.7109375" style="4" customWidth="1"/>
    <col min="4099" max="4103" width="10.7109375" style="4" customWidth="1"/>
    <col min="4104" max="4104" width="11.42578125" style="4" customWidth="1"/>
    <col min="4105" max="4106" width="12" style="4" customWidth="1"/>
    <col min="4107" max="4108" width="8.85546875" style="4"/>
    <col min="4109" max="4109" width="10.7109375" style="4" bestFit="1" customWidth="1"/>
    <col min="4110" max="4352" width="8.85546875" style="4"/>
    <col min="4353" max="4353" width="1.7109375" style="4" customWidth="1"/>
    <col min="4354" max="4354" width="40.7109375" style="4" customWidth="1"/>
    <col min="4355" max="4359" width="10.7109375" style="4" customWidth="1"/>
    <col min="4360" max="4360" width="11.42578125" style="4" customWidth="1"/>
    <col min="4361" max="4362" width="12" style="4" customWidth="1"/>
    <col min="4363" max="4364" width="8.85546875" style="4"/>
    <col min="4365" max="4365" width="10.7109375" style="4" bestFit="1" customWidth="1"/>
    <col min="4366" max="4608" width="8.85546875" style="4"/>
    <col min="4609" max="4609" width="1.7109375" style="4" customWidth="1"/>
    <col min="4610" max="4610" width="40.7109375" style="4" customWidth="1"/>
    <col min="4611" max="4615" width="10.7109375" style="4" customWidth="1"/>
    <col min="4616" max="4616" width="11.42578125" style="4" customWidth="1"/>
    <col min="4617" max="4618" width="12" style="4" customWidth="1"/>
    <col min="4619" max="4620" width="8.85546875" style="4"/>
    <col min="4621" max="4621" width="10.7109375" style="4" bestFit="1" customWidth="1"/>
    <col min="4622" max="4864" width="8.85546875" style="4"/>
    <col min="4865" max="4865" width="1.7109375" style="4" customWidth="1"/>
    <col min="4866" max="4866" width="40.7109375" style="4" customWidth="1"/>
    <col min="4867" max="4871" width="10.7109375" style="4" customWidth="1"/>
    <col min="4872" max="4872" width="11.42578125" style="4" customWidth="1"/>
    <col min="4873" max="4874" width="12" style="4" customWidth="1"/>
    <col min="4875" max="4876" width="8.85546875" style="4"/>
    <col min="4877" max="4877" width="10.7109375" style="4" bestFit="1" customWidth="1"/>
    <col min="4878" max="5120" width="8.85546875" style="4"/>
    <col min="5121" max="5121" width="1.7109375" style="4" customWidth="1"/>
    <col min="5122" max="5122" width="40.7109375" style="4" customWidth="1"/>
    <col min="5123" max="5127" width="10.7109375" style="4" customWidth="1"/>
    <col min="5128" max="5128" width="11.42578125" style="4" customWidth="1"/>
    <col min="5129" max="5130" width="12" style="4" customWidth="1"/>
    <col min="5131" max="5132" width="8.85546875" style="4"/>
    <col min="5133" max="5133" width="10.7109375" style="4" bestFit="1" customWidth="1"/>
    <col min="5134" max="5376" width="8.85546875" style="4"/>
    <col min="5377" max="5377" width="1.7109375" style="4" customWidth="1"/>
    <col min="5378" max="5378" width="40.7109375" style="4" customWidth="1"/>
    <col min="5379" max="5383" width="10.7109375" style="4" customWidth="1"/>
    <col min="5384" max="5384" width="11.42578125" style="4" customWidth="1"/>
    <col min="5385" max="5386" width="12" style="4" customWidth="1"/>
    <col min="5387" max="5388" width="8.85546875" style="4"/>
    <col min="5389" max="5389" width="10.7109375" style="4" bestFit="1" customWidth="1"/>
    <col min="5390" max="5632" width="8.85546875" style="4"/>
    <col min="5633" max="5633" width="1.7109375" style="4" customWidth="1"/>
    <col min="5634" max="5634" width="40.7109375" style="4" customWidth="1"/>
    <col min="5635" max="5639" width="10.7109375" style="4" customWidth="1"/>
    <col min="5640" max="5640" width="11.42578125" style="4" customWidth="1"/>
    <col min="5641" max="5642" width="12" style="4" customWidth="1"/>
    <col min="5643" max="5644" width="8.85546875" style="4"/>
    <col min="5645" max="5645" width="10.7109375" style="4" bestFit="1" customWidth="1"/>
    <col min="5646" max="5888" width="8.85546875" style="4"/>
    <col min="5889" max="5889" width="1.7109375" style="4" customWidth="1"/>
    <col min="5890" max="5890" width="40.7109375" style="4" customWidth="1"/>
    <col min="5891" max="5895" width="10.7109375" style="4" customWidth="1"/>
    <col min="5896" max="5896" width="11.42578125" style="4" customWidth="1"/>
    <col min="5897" max="5898" width="12" style="4" customWidth="1"/>
    <col min="5899" max="5900" width="8.85546875" style="4"/>
    <col min="5901" max="5901" width="10.7109375" style="4" bestFit="1" customWidth="1"/>
    <col min="5902" max="6144" width="8.85546875" style="4"/>
    <col min="6145" max="6145" width="1.7109375" style="4" customWidth="1"/>
    <col min="6146" max="6146" width="40.7109375" style="4" customWidth="1"/>
    <col min="6147" max="6151" width="10.7109375" style="4" customWidth="1"/>
    <col min="6152" max="6152" width="11.42578125" style="4" customWidth="1"/>
    <col min="6153" max="6154" width="12" style="4" customWidth="1"/>
    <col min="6155" max="6156" width="8.85546875" style="4"/>
    <col min="6157" max="6157" width="10.7109375" style="4" bestFit="1" customWidth="1"/>
    <col min="6158" max="6400" width="8.85546875" style="4"/>
    <col min="6401" max="6401" width="1.7109375" style="4" customWidth="1"/>
    <col min="6402" max="6402" width="40.7109375" style="4" customWidth="1"/>
    <col min="6403" max="6407" width="10.7109375" style="4" customWidth="1"/>
    <col min="6408" max="6408" width="11.42578125" style="4" customWidth="1"/>
    <col min="6409" max="6410" width="12" style="4" customWidth="1"/>
    <col min="6411" max="6412" width="8.85546875" style="4"/>
    <col min="6413" max="6413" width="10.7109375" style="4" bestFit="1" customWidth="1"/>
    <col min="6414" max="6656" width="8.85546875" style="4"/>
    <col min="6657" max="6657" width="1.7109375" style="4" customWidth="1"/>
    <col min="6658" max="6658" width="40.7109375" style="4" customWidth="1"/>
    <col min="6659" max="6663" width="10.7109375" style="4" customWidth="1"/>
    <col min="6664" max="6664" width="11.42578125" style="4" customWidth="1"/>
    <col min="6665" max="6666" width="12" style="4" customWidth="1"/>
    <col min="6667" max="6668" width="8.85546875" style="4"/>
    <col min="6669" max="6669" width="10.7109375" style="4" bestFit="1" customWidth="1"/>
    <col min="6670" max="6912" width="8.85546875" style="4"/>
    <col min="6913" max="6913" width="1.7109375" style="4" customWidth="1"/>
    <col min="6914" max="6914" width="40.7109375" style="4" customWidth="1"/>
    <col min="6915" max="6919" width="10.7109375" style="4" customWidth="1"/>
    <col min="6920" max="6920" width="11.42578125" style="4" customWidth="1"/>
    <col min="6921" max="6922" width="12" style="4" customWidth="1"/>
    <col min="6923" max="6924" width="8.85546875" style="4"/>
    <col min="6925" max="6925" width="10.7109375" style="4" bestFit="1" customWidth="1"/>
    <col min="6926" max="7168" width="8.85546875" style="4"/>
    <col min="7169" max="7169" width="1.7109375" style="4" customWidth="1"/>
    <col min="7170" max="7170" width="40.7109375" style="4" customWidth="1"/>
    <col min="7171" max="7175" width="10.7109375" style="4" customWidth="1"/>
    <col min="7176" max="7176" width="11.42578125" style="4" customWidth="1"/>
    <col min="7177" max="7178" width="12" style="4" customWidth="1"/>
    <col min="7179" max="7180" width="8.85546875" style="4"/>
    <col min="7181" max="7181" width="10.7109375" style="4" bestFit="1" customWidth="1"/>
    <col min="7182" max="7424" width="8.85546875" style="4"/>
    <col min="7425" max="7425" width="1.7109375" style="4" customWidth="1"/>
    <col min="7426" max="7426" width="40.7109375" style="4" customWidth="1"/>
    <col min="7427" max="7431" width="10.7109375" style="4" customWidth="1"/>
    <col min="7432" max="7432" width="11.42578125" style="4" customWidth="1"/>
    <col min="7433" max="7434" width="12" style="4" customWidth="1"/>
    <col min="7435" max="7436" width="8.85546875" style="4"/>
    <col min="7437" max="7437" width="10.7109375" style="4" bestFit="1" customWidth="1"/>
    <col min="7438" max="7680" width="8.85546875" style="4"/>
    <col min="7681" max="7681" width="1.7109375" style="4" customWidth="1"/>
    <col min="7682" max="7682" width="40.7109375" style="4" customWidth="1"/>
    <col min="7683" max="7687" width="10.7109375" style="4" customWidth="1"/>
    <col min="7688" max="7688" width="11.42578125" style="4" customWidth="1"/>
    <col min="7689" max="7690" width="12" style="4" customWidth="1"/>
    <col min="7691" max="7692" width="8.85546875" style="4"/>
    <col min="7693" max="7693" width="10.7109375" style="4" bestFit="1" customWidth="1"/>
    <col min="7694" max="7936" width="8.85546875" style="4"/>
    <col min="7937" max="7937" width="1.7109375" style="4" customWidth="1"/>
    <col min="7938" max="7938" width="40.7109375" style="4" customWidth="1"/>
    <col min="7939" max="7943" width="10.7109375" style="4" customWidth="1"/>
    <col min="7944" max="7944" width="11.42578125" style="4" customWidth="1"/>
    <col min="7945" max="7946" width="12" style="4" customWidth="1"/>
    <col min="7947" max="7948" width="8.85546875" style="4"/>
    <col min="7949" max="7949" width="10.7109375" style="4" bestFit="1" customWidth="1"/>
    <col min="7950" max="8192" width="8.85546875" style="4"/>
    <col min="8193" max="8193" width="1.7109375" style="4" customWidth="1"/>
    <col min="8194" max="8194" width="40.7109375" style="4" customWidth="1"/>
    <col min="8195" max="8199" width="10.7109375" style="4" customWidth="1"/>
    <col min="8200" max="8200" width="11.42578125" style="4" customWidth="1"/>
    <col min="8201" max="8202" width="12" style="4" customWidth="1"/>
    <col min="8203" max="8204" width="8.85546875" style="4"/>
    <col min="8205" max="8205" width="10.7109375" style="4" bestFit="1" customWidth="1"/>
    <col min="8206" max="8448" width="8.85546875" style="4"/>
    <col min="8449" max="8449" width="1.7109375" style="4" customWidth="1"/>
    <col min="8450" max="8450" width="40.7109375" style="4" customWidth="1"/>
    <col min="8451" max="8455" width="10.7109375" style="4" customWidth="1"/>
    <col min="8456" max="8456" width="11.42578125" style="4" customWidth="1"/>
    <col min="8457" max="8458" width="12" style="4" customWidth="1"/>
    <col min="8459" max="8460" width="8.85546875" style="4"/>
    <col min="8461" max="8461" width="10.7109375" style="4" bestFit="1" customWidth="1"/>
    <col min="8462" max="8704" width="8.85546875" style="4"/>
    <col min="8705" max="8705" width="1.7109375" style="4" customWidth="1"/>
    <col min="8706" max="8706" width="40.7109375" style="4" customWidth="1"/>
    <col min="8707" max="8711" width="10.7109375" style="4" customWidth="1"/>
    <col min="8712" max="8712" width="11.42578125" style="4" customWidth="1"/>
    <col min="8713" max="8714" width="12" style="4" customWidth="1"/>
    <col min="8715" max="8716" width="8.85546875" style="4"/>
    <col min="8717" max="8717" width="10.7109375" style="4" bestFit="1" customWidth="1"/>
    <col min="8718" max="8960" width="8.85546875" style="4"/>
    <col min="8961" max="8961" width="1.7109375" style="4" customWidth="1"/>
    <col min="8962" max="8962" width="40.7109375" style="4" customWidth="1"/>
    <col min="8963" max="8967" width="10.7109375" style="4" customWidth="1"/>
    <col min="8968" max="8968" width="11.42578125" style="4" customWidth="1"/>
    <col min="8969" max="8970" width="12" style="4" customWidth="1"/>
    <col min="8971" max="8972" width="8.85546875" style="4"/>
    <col min="8973" max="8973" width="10.7109375" style="4" bestFit="1" customWidth="1"/>
    <col min="8974" max="9216" width="8.85546875" style="4"/>
    <col min="9217" max="9217" width="1.7109375" style="4" customWidth="1"/>
    <col min="9218" max="9218" width="40.7109375" style="4" customWidth="1"/>
    <col min="9219" max="9223" width="10.7109375" style="4" customWidth="1"/>
    <col min="9224" max="9224" width="11.42578125" style="4" customWidth="1"/>
    <col min="9225" max="9226" width="12" style="4" customWidth="1"/>
    <col min="9227" max="9228" width="8.85546875" style="4"/>
    <col min="9229" max="9229" width="10.7109375" style="4" bestFit="1" customWidth="1"/>
    <col min="9230" max="9472" width="8.85546875" style="4"/>
    <col min="9473" max="9473" width="1.7109375" style="4" customWidth="1"/>
    <col min="9474" max="9474" width="40.7109375" style="4" customWidth="1"/>
    <col min="9475" max="9479" width="10.7109375" style="4" customWidth="1"/>
    <col min="9480" max="9480" width="11.42578125" style="4" customWidth="1"/>
    <col min="9481" max="9482" width="12" style="4" customWidth="1"/>
    <col min="9483" max="9484" width="8.85546875" style="4"/>
    <col min="9485" max="9485" width="10.7109375" style="4" bestFit="1" customWidth="1"/>
    <col min="9486" max="9728" width="8.85546875" style="4"/>
    <col min="9729" max="9729" width="1.7109375" style="4" customWidth="1"/>
    <col min="9730" max="9730" width="40.7109375" style="4" customWidth="1"/>
    <col min="9731" max="9735" width="10.7109375" style="4" customWidth="1"/>
    <col min="9736" max="9736" width="11.42578125" style="4" customWidth="1"/>
    <col min="9737" max="9738" width="12" style="4" customWidth="1"/>
    <col min="9739" max="9740" width="8.85546875" style="4"/>
    <col min="9741" max="9741" width="10.7109375" style="4" bestFit="1" customWidth="1"/>
    <col min="9742" max="9984" width="8.85546875" style="4"/>
    <col min="9985" max="9985" width="1.7109375" style="4" customWidth="1"/>
    <col min="9986" max="9986" width="40.7109375" style="4" customWidth="1"/>
    <col min="9987" max="9991" width="10.7109375" style="4" customWidth="1"/>
    <col min="9992" max="9992" width="11.42578125" style="4" customWidth="1"/>
    <col min="9993" max="9994" width="12" style="4" customWidth="1"/>
    <col min="9995" max="9996" width="8.85546875" style="4"/>
    <col min="9997" max="9997" width="10.7109375" style="4" bestFit="1" customWidth="1"/>
    <col min="9998" max="10240" width="8.85546875" style="4"/>
    <col min="10241" max="10241" width="1.7109375" style="4" customWidth="1"/>
    <col min="10242" max="10242" width="40.7109375" style="4" customWidth="1"/>
    <col min="10243" max="10247" width="10.7109375" style="4" customWidth="1"/>
    <col min="10248" max="10248" width="11.42578125" style="4" customWidth="1"/>
    <col min="10249" max="10250" width="12" style="4" customWidth="1"/>
    <col min="10251" max="10252" width="8.85546875" style="4"/>
    <col min="10253" max="10253" width="10.7109375" style="4" bestFit="1" customWidth="1"/>
    <col min="10254" max="10496" width="8.85546875" style="4"/>
    <col min="10497" max="10497" width="1.7109375" style="4" customWidth="1"/>
    <col min="10498" max="10498" width="40.7109375" style="4" customWidth="1"/>
    <col min="10499" max="10503" width="10.7109375" style="4" customWidth="1"/>
    <col min="10504" max="10504" width="11.42578125" style="4" customWidth="1"/>
    <col min="10505" max="10506" width="12" style="4" customWidth="1"/>
    <col min="10507" max="10508" width="8.85546875" style="4"/>
    <col min="10509" max="10509" width="10.7109375" style="4" bestFit="1" customWidth="1"/>
    <col min="10510" max="10752" width="8.85546875" style="4"/>
    <col min="10753" max="10753" width="1.7109375" style="4" customWidth="1"/>
    <col min="10754" max="10754" width="40.7109375" style="4" customWidth="1"/>
    <col min="10755" max="10759" width="10.7109375" style="4" customWidth="1"/>
    <col min="10760" max="10760" width="11.42578125" style="4" customWidth="1"/>
    <col min="10761" max="10762" width="12" style="4" customWidth="1"/>
    <col min="10763" max="10764" width="8.85546875" style="4"/>
    <col min="10765" max="10765" width="10.7109375" style="4" bestFit="1" customWidth="1"/>
    <col min="10766" max="11008" width="8.85546875" style="4"/>
    <col min="11009" max="11009" width="1.7109375" style="4" customWidth="1"/>
    <col min="11010" max="11010" width="40.7109375" style="4" customWidth="1"/>
    <col min="11011" max="11015" width="10.7109375" style="4" customWidth="1"/>
    <col min="11016" max="11016" width="11.42578125" style="4" customWidth="1"/>
    <col min="11017" max="11018" width="12" style="4" customWidth="1"/>
    <col min="11019" max="11020" width="8.85546875" style="4"/>
    <col min="11021" max="11021" width="10.7109375" style="4" bestFit="1" customWidth="1"/>
    <col min="11022" max="11264" width="8.85546875" style="4"/>
    <col min="11265" max="11265" width="1.7109375" style="4" customWidth="1"/>
    <col min="11266" max="11266" width="40.7109375" style="4" customWidth="1"/>
    <col min="11267" max="11271" width="10.7109375" style="4" customWidth="1"/>
    <col min="11272" max="11272" width="11.42578125" style="4" customWidth="1"/>
    <col min="11273" max="11274" width="12" style="4" customWidth="1"/>
    <col min="11275" max="11276" width="8.85546875" style="4"/>
    <col min="11277" max="11277" width="10.7109375" style="4" bestFit="1" customWidth="1"/>
    <col min="11278" max="11520" width="8.85546875" style="4"/>
    <col min="11521" max="11521" width="1.7109375" style="4" customWidth="1"/>
    <col min="11522" max="11522" width="40.7109375" style="4" customWidth="1"/>
    <col min="11523" max="11527" width="10.7109375" style="4" customWidth="1"/>
    <col min="11528" max="11528" width="11.42578125" style="4" customWidth="1"/>
    <col min="11529" max="11530" width="12" style="4" customWidth="1"/>
    <col min="11531" max="11532" width="8.85546875" style="4"/>
    <col min="11533" max="11533" width="10.7109375" style="4" bestFit="1" customWidth="1"/>
    <col min="11534" max="11776" width="8.85546875" style="4"/>
    <col min="11777" max="11777" width="1.7109375" style="4" customWidth="1"/>
    <col min="11778" max="11778" width="40.7109375" style="4" customWidth="1"/>
    <col min="11779" max="11783" width="10.7109375" style="4" customWidth="1"/>
    <col min="11784" max="11784" width="11.42578125" style="4" customWidth="1"/>
    <col min="11785" max="11786" width="12" style="4" customWidth="1"/>
    <col min="11787" max="11788" width="8.85546875" style="4"/>
    <col min="11789" max="11789" width="10.7109375" style="4" bestFit="1" customWidth="1"/>
    <col min="11790" max="12032" width="8.85546875" style="4"/>
    <col min="12033" max="12033" width="1.7109375" style="4" customWidth="1"/>
    <col min="12034" max="12034" width="40.7109375" style="4" customWidth="1"/>
    <col min="12035" max="12039" width="10.7109375" style="4" customWidth="1"/>
    <col min="12040" max="12040" width="11.42578125" style="4" customWidth="1"/>
    <col min="12041" max="12042" width="12" style="4" customWidth="1"/>
    <col min="12043" max="12044" width="8.85546875" style="4"/>
    <col min="12045" max="12045" width="10.7109375" style="4" bestFit="1" customWidth="1"/>
    <col min="12046" max="12288" width="8.85546875" style="4"/>
    <col min="12289" max="12289" width="1.7109375" style="4" customWidth="1"/>
    <col min="12290" max="12290" width="40.7109375" style="4" customWidth="1"/>
    <col min="12291" max="12295" width="10.7109375" style="4" customWidth="1"/>
    <col min="12296" max="12296" width="11.42578125" style="4" customWidth="1"/>
    <col min="12297" max="12298" width="12" style="4" customWidth="1"/>
    <col min="12299" max="12300" width="8.85546875" style="4"/>
    <col min="12301" max="12301" width="10.7109375" style="4" bestFit="1" customWidth="1"/>
    <col min="12302" max="12544" width="8.85546875" style="4"/>
    <col min="12545" max="12545" width="1.7109375" style="4" customWidth="1"/>
    <col min="12546" max="12546" width="40.7109375" style="4" customWidth="1"/>
    <col min="12547" max="12551" width="10.7109375" style="4" customWidth="1"/>
    <col min="12552" max="12552" width="11.42578125" style="4" customWidth="1"/>
    <col min="12553" max="12554" width="12" style="4" customWidth="1"/>
    <col min="12555" max="12556" width="8.85546875" style="4"/>
    <col min="12557" max="12557" width="10.7109375" style="4" bestFit="1" customWidth="1"/>
    <col min="12558" max="12800" width="8.85546875" style="4"/>
    <col min="12801" max="12801" width="1.7109375" style="4" customWidth="1"/>
    <col min="12802" max="12802" width="40.7109375" style="4" customWidth="1"/>
    <col min="12803" max="12807" width="10.7109375" style="4" customWidth="1"/>
    <col min="12808" max="12808" width="11.42578125" style="4" customWidth="1"/>
    <col min="12809" max="12810" width="12" style="4" customWidth="1"/>
    <col min="12811" max="12812" width="8.85546875" style="4"/>
    <col min="12813" max="12813" width="10.7109375" style="4" bestFit="1" customWidth="1"/>
    <col min="12814" max="13056" width="8.85546875" style="4"/>
    <col min="13057" max="13057" width="1.7109375" style="4" customWidth="1"/>
    <col min="13058" max="13058" width="40.7109375" style="4" customWidth="1"/>
    <col min="13059" max="13063" width="10.7109375" style="4" customWidth="1"/>
    <col min="13064" max="13064" width="11.42578125" style="4" customWidth="1"/>
    <col min="13065" max="13066" width="12" style="4" customWidth="1"/>
    <col min="13067" max="13068" width="8.85546875" style="4"/>
    <col min="13069" max="13069" width="10.7109375" style="4" bestFit="1" customWidth="1"/>
    <col min="13070" max="13312" width="8.85546875" style="4"/>
    <col min="13313" max="13313" width="1.7109375" style="4" customWidth="1"/>
    <col min="13314" max="13314" width="40.7109375" style="4" customWidth="1"/>
    <col min="13315" max="13319" width="10.7109375" style="4" customWidth="1"/>
    <col min="13320" max="13320" width="11.42578125" style="4" customWidth="1"/>
    <col min="13321" max="13322" width="12" style="4" customWidth="1"/>
    <col min="13323" max="13324" width="8.85546875" style="4"/>
    <col min="13325" max="13325" width="10.7109375" style="4" bestFit="1" customWidth="1"/>
    <col min="13326" max="13568" width="8.85546875" style="4"/>
    <col min="13569" max="13569" width="1.7109375" style="4" customWidth="1"/>
    <col min="13570" max="13570" width="40.7109375" style="4" customWidth="1"/>
    <col min="13571" max="13575" width="10.7109375" style="4" customWidth="1"/>
    <col min="13576" max="13576" width="11.42578125" style="4" customWidth="1"/>
    <col min="13577" max="13578" width="12" style="4" customWidth="1"/>
    <col min="13579" max="13580" width="8.85546875" style="4"/>
    <col min="13581" max="13581" width="10.7109375" style="4" bestFit="1" customWidth="1"/>
    <col min="13582" max="13824" width="8.85546875" style="4"/>
    <col min="13825" max="13825" width="1.7109375" style="4" customWidth="1"/>
    <col min="13826" max="13826" width="40.7109375" style="4" customWidth="1"/>
    <col min="13827" max="13831" width="10.7109375" style="4" customWidth="1"/>
    <col min="13832" max="13832" width="11.42578125" style="4" customWidth="1"/>
    <col min="13833" max="13834" width="12" style="4" customWidth="1"/>
    <col min="13835" max="13836" width="8.85546875" style="4"/>
    <col min="13837" max="13837" width="10.7109375" style="4" bestFit="1" customWidth="1"/>
    <col min="13838" max="14080" width="8.85546875" style="4"/>
    <col min="14081" max="14081" width="1.7109375" style="4" customWidth="1"/>
    <col min="14082" max="14082" width="40.7109375" style="4" customWidth="1"/>
    <col min="14083" max="14087" width="10.7109375" style="4" customWidth="1"/>
    <col min="14088" max="14088" width="11.42578125" style="4" customWidth="1"/>
    <col min="14089" max="14090" width="12" style="4" customWidth="1"/>
    <col min="14091" max="14092" width="8.85546875" style="4"/>
    <col min="14093" max="14093" width="10.7109375" style="4" bestFit="1" customWidth="1"/>
    <col min="14094" max="14336" width="8.85546875" style="4"/>
    <col min="14337" max="14337" width="1.7109375" style="4" customWidth="1"/>
    <col min="14338" max="14338" width="40.7109375" style="4" customWidth="1"/>
    <col min="14339" max="14343" width="10.7109375" style="4" customWidth="1"/>
    <col min="14344" max="14344" width="11.42578125" style="4" customWidth="1"/>
    <col min="14345" max="14346" width="12" style="4" customWidth="1"/>
    <col min="14347" max="14348" width="8.85546875" style="4"/>
    <col min="14349" max="14349" width="10.7109375" style="4" bestFit="1" customWidth="1"/>
    <col min="14350" max="14592" width="8.85546875" style="4"/>
    <col min="14593" max="14593" width="1.7109375" style="4" customWidth="1"/>
    <col min="14594" max="14594" width="40.7109375" style="4" customWidth="1"/>
    <col min="14595" max="14599" width="10.7109375" style="4" customWidth="1"/>
    <col min="14600" max="14600" width="11.42578125" style="4" customWidth="1"/>
    <col min="14601" max="14602" width="12" style="4" customWidth="1"/>
    <col min="14603" max="14604" width="8.85546875" style="4"/>
    <col min="14605" max="14605" width="10.7109375" style="4" bestFit="1" customWidth="1"/>
    <col min="14606" max="14848" width="8.85546875" style="4"/>
    <col min="14849" max="14849" width="1.7109375" style="4" customWidth="1"/>
    <col min="14850" max="14850" width="40.7109375" style="4" customWidth="1"/>
    <col min="14851" max="14855" width="10.7109375" style="4" customWidth="1"/>
    <col min="14856" max="14856" width="11.42578125" style="4" customWidth="1"/>
    <col min="14857" max="14858" width="12" style="4" customWidth="1"/>
    <col min="14859" max="14860" width="8.85546875" style="4"/>
    <col min="14861" max="14861" width="10.7109375" style="4" bestFit="1" customWidth="1"/>
    <col min="14862" max="15104" width="8.85546875" style="4"/>
    <col min="15105" max="15105" width="1.7109375" style="4" customWidth="1"/>
    <col min="15106" max="15106" width="40.7109375" style="4" customWidth="1"/>
    <col min="15107" max="15111" width="10.7109375" style="4" customWidth="1"/>
    <col min="15112" max="15112" width="11.42578125" style="4" customWidth="1"/>
    <col min="15113" max="15114" width="12" style="4" customWidth="1"/>
    <col min="15115" max="15116" width="8.85546875" style="4"/>
    <col min="15117" max="15117" width="10.7109375" style="4" bestFit="1" customWidth="1"/>
    <col min="15118" max="15360" width="8.85546875" style="4"/>
    <col min="15361" max="15361" width="1.7109375" style="4" customWidth="1"/>
    <col min="15362" max="15362" width="40.7109375" style="4" customWidth="1"/>
    <col min="15363" max="15367" width="10.7109375" style="4" customWidth="1"/>
    <col min="15368" max="15368" width="11.42578125" style="4" customWidth="1"/>
    <col min="15369" max="15370" width="12" style="4" customWidth="1"/>
    <col min="15371" max="15372" width="8.85546875" style="4"/>
    <col min="15373" max="15373" width="10.7109375" style="4" bestFit="1" customWidth="1"/>
    <col min="15374" max="15616" width="8.85546875" style="4"/>
    <col min="15617" max="15617" width="1.7109375" style="4" customWidth="1"/>
    <col min="15618" max="15618" width="40.7109375" style="4" customWidth="1"/>
    <col min="15619" max="15623" width="10.7109375" style="4" customWidth="1"/>
    <col min="15624" max="15624" width="11.42578125" style="4" customWidth="1"/>
    <col min="15625" max="15626" width="12" style="4" customWidth="1"/>
    <col min="15627" max="15628" width="8.85546875" style="4"/>
    <col min="15629" max="15629" width="10.7109375" style="4" bestFit="1" customWidth="1"/>
    <col min="15630" max="15872" width="8.85546875" style="4"/>
    <col min="15873" max="15873" width="1.7109375" style="4" customWidth="1"/>
    <col min="15874" max="15874" width="40.7109375" style="4" customWidth="1"/>
    <col min="15875" max="15879" width="10.7109375" style="4" customWidth="1"/>
    <col min="15880" max="15880" width="11.42578125" style="4" customWidth="1"/>
    <col min="15881" max="15882" width="12" style="4" customWidth="1"/>
    <col min="15883" max="15884" width="8.85546875" style="4"/>
    <col min="15885" max="15885" width="10.7109375" style="4" bestFit="1" customWidth="1"/>
    <col min="15886" max="16128" width="8.85546875" style="4"/>
    <col min="16129" max="16129" width="1.7109375" style="4" customWidth="1"/>
    <col min="16130" max="16130" width="40.7109375" style="4" customWidth="1"/>
    <col min="16131" max="16135" width="10.7109375" style="4" customWidth="1"/>
    <col min="16136" max="16136" width="11.42578125" style="4" customWidth="1"/>
    <col min="16137" max="16138" width="12" style="4" customWidth="1"/>
    <col min="16139" max="16140" width="8.85546875" style="4"/>
    <col min="16141" max="16141" width="10.7109375" style="4" bestFit="1" customWidth="1"/>
    <col min="16142" max="16384" width="8.85546875" style="4"/>
  </cols>
  <sheetData>
    <row r="1" spans="1:15" s="2" customFormat="1" ht="19.5" x14ac:dyDescent="0.3">
      <c r="A1" s="299" t="str">
        <f>CoName</f>
        <v>Columbia Sportswear Co.</v>
      </c>
      <c r="B1" s="3"/>
      <c r="C1" s="42" t="s">
        <v>0</v>
      </c>
      <c r="D1" s="42" t="s">
        <v>0</v>
      </c>
      <c r="E1" s="42" t="s">
        <v>0</v>
      </c>
      <c r="F1" s="42" t="s">
        <v>1</v>
      </c>
      <c r="G1" s="42" t="s">
        <v>1</v>
      </c>
      <c r="H1" s="42" t="s">
        <v>1</v>
      </c>
      <c r="I1" s="42" t="s">
        <v>1</v>
      </c>
      <c r="J1" s="42" t="s">
        <v>1</v>
      </c>
      <c r="K1" s="42"/>
      <c r="L1" s="42"/>
      <c r="M1" s="42"/>
      <c r="N1" s="42"/>
      <c r="O1" s="42"/>
    </row>
    <row r="2" spans="1:15" x14ac:dyDescent="0.25">
      <c r="A2" s="17" t="s">
        <v>9</v>
      </c>
      <c r="B2" s="16"/>
      <c r="C2" s="298">
        <v>44926</v>
      </c>
      <c r="D2" s="298">
        <v>45291</v>
      </c>
      <c r="E2" s="298">
        <v>45657</v>
      </c>
      <c r="F2" s="109">
        <v>46022</v>
      </c>
      <c r="G2" s="109">
        <v>46387</v>
      </c>
      <c r="H2" s="109">
        <v>46752</v>
      </c>
      <c r="I2" s="109">
        <v>47118</v>
      </c>
      <c r="J2" s="109">
        <v>47483</v>
      </c>
      <c r="K2" s="326"/>
      <c r="L2" s="326"/>
      <c r="M2" s="326"/>
    </row>
    <row r="3" spans="1:15" x14ac:dyDescent="0.25">
      <c r="A3" s="88"/>
      <c r="C3" s="101"/>
      <c r="D3" s="101"/>
      <c r="E3" s="101"/>
    </row>
    <row r="4" spans="1:15" x14ac:dyDescent="0.25">
      <c r="B4" s="32" t="s">
        <v>42</v>
      </c>
      <c r="C4" s="380">
        <f>Assumptions!C10</f>
        <v>0</v>
      </c>
      <c r="D4" s="380">
        <f>Assumptions!D10</f>
        <v>6.6489576669845896E-3</v>
      </c>
      <c r="E4" s="381">
        <f>Assumptions!E10</f>
        <v>-3.4011100644215864E-2</v>
      </c>
      <c r="F4" s="185">
        <f>Assumptions!F10</f>
        <v>-1.4868000838334821E-2</v>
      </c>
      <c r="G4" s="185">
        <f>Assumptions!G10</f>
        <v>5.9207506579661735E-3</v>
      </c>
      <c r="H4" s="185">
        <f>Assumptions!H10</f>
        <v>6.6474112111407808E-3</v>
      </c>
      <c r="I4" s="185">
        <f>Assumptions!I10</f>
        <v>7.3879774046392739E-3</v>
      </c>
      <c r="J4" s="335">
        <f>Assumptions!J10</f>
        <v>8.1418736894416539E-3</v>
      </c>
      <c r="K4" s="223"/>
      <c r="L4" s="223"/>
      <c r="M4" s="223"/>
      <c r="N4" s="223"/>
      <c r="O4" s="223"/>
    </row>
    <row r="5" spans="1:15" x14ac:dyDescent="0.25">
      <c r="B5" s="32" t="s">
        <v>43</v>
      </c>
      <c r="C5" s="203">
        <f t="shared" ref="C5:D5" si="0">C17/C16</f>
        <v>0.50606151231239271</v>
      </c>
      <c r="D5" s="33">
        <f t="shared" si="0"/>
        <v>0.5039199037165315</v>
      </c>
      <c r="E5" s="33">
        <f>E17/E16</f>
        <v>0.49798312761868346</v>
      </c>
      <c r="F5" s="185">
        <f>Assumptions!F11</f>
        <v>0.49798312761868346</v>
      </c>
      <c r="G5" s="185">
        <f>Assumptions!G11</f>
        <v>0.49798312761868346</v>
      </c>
      <c r="H5" s="185">
        <f>Assumptions!H11</f>
        <v>0.49798312761868346</v>
      </c>
      <c r="I5" s="185">
        <f>Assumptions!I11</f>
        <v>0.49798312761868346</v>
      </c>
      <c r="J5" s="335">
        <f>Assumptions!J11</f>
        <v>0.49798312761868346</v>
      </c>
      <c r="K5" s="223"/>
      <c r="L5" s="223"/>
      <c r="M5" s="223"/>
      <c r="N5" s="223"/>
      <c r="O5" s="223"/>
    </row>
    <row r="6" spans="1:15" x14ac:dyDescent="0.25">
      <c r="B6" s="32" t="s">
        <v>44</v>
      </c>
      <c r="C6" s="33">
        <f>C18/C16</f>
        <v>0.37654063678499095</v>
      </c>
      <c r="D6" s="33">
        <f t="shared" ref="D6:E6" si="1">D18/D16</f>
        <v>0.40614584238428336</v>
      </c>
      <c r="E6" s="33">
        <f t="shared" si="1"/>
        <v>0.42863911283738976</v>
      </c>
      <c r="F6" s="185">
        <f>Assumptions!F12</f>
        <v>0.42</v>
      </c>
      <c r="G6" s="185">
        <f>Assumptions!G12</f>
        <v>0.42</v>
      </c>
      <c r="H6" s="185">
        <f>Assumptions!H12</f>
        <v>0.42</v>
      </c>
      <c r="I6" s="185">
        <f>Assumptions!I12</f>
        <v>0.42</v>
      </c>
      <c r="J6" s="335">
        <f>Assumptions!J12</f>
        <v>0.42</v>
      </c>
      <c r="K6" s="223"/>
      <c r="L6" s="223"/>
      <c r="M6" s="223"/>
      <c r="N6" s="223"/>
      <c r="O6" s="223"/>
    </row>
    <row r="7" spans="1:15" x14ac:dyDescent="0.25">
      <c r="A7" s="88"/>
      <c r="B7" s="4" t="s">
        <v>45</v>
      </c>
      <c r="C7" s="32">
        <f t="shared" ref="C7:D7" si="2">C22</f>
        <v>1700</v>
      </c>
      <c r="D7" s="32">
        <f t="shared" si="2"/>
        <v>1700</v>
      </c>
      <c r="E7" s="32">
        <f>E22</f>
        <v>687</v>
      </c>
      <c r="F7" s="186">
        <f>Assumptions!F13</f>
        <v>0</v>
      </c>
      <c r="G7" s="186">
        <f>Assumptions!G13</f>
        <v>0</v>
      </c>
      <c r="H7" s="186">
        <f>Assumptions!H13</f>
        <v>0</v>
      </c>
      <c r="I7" s="186">
        <f>Assumptions!I13</f>
        <v>0</v>
      </c>
      <c r="J7" s="336">
        <f>Assumptions!J13</f>
        <v>0</v>
      </c>
      <c r="K7" s="224"/>
      <c r="L7" s="224"/>
      <c r="M7" s="224"/>
      <c r="N7" s="224"/>
      <c r="O7" s="224"/>
    </row>
    <row r="8" spans="1:15" x14ac:dyDescent="0.25">
      <c r="A8" s="88"/>
      <c r="B8" s="4" t="s">
        <v>46</v>
      </c>
      <c r="C8" s="32">
        <f t="shared" ref="C8:D8" si="3">C25</f>
        <v>-35600</v>
      </c>
      <c r="D8" s="32">
        <f t="shared" si="3"/>
        <v>-25000</v>
      </c>
      <c r="E8" s="32">
        <f>E25</f>
        <v>0</v>
      </c>
      <c r="F8" s="187">
        <f>Assumptions!F14</f>
        <v>0</v>
      </c>
      <c r="G8" s="187">
        <f>Assumptions!G14</f>
        <v>0</v>
      </c>
      <c r="H8" s="187">
        <f>Assumptions!H14</f>
        <v>0</v>
      </c>
      <c r="I8" s="187">
        <f>Assumptions!I14</f>
        <v>0</v>
      </c>
      <c r="J8" s="337">
        <f>Assumptions!J14</f>
        <v>0</v>
      </c>
      <c r="K8" s="225"/>
      <c r="L8" s="225"/>
      <c r="M8" s="225"/>
      <c r="N8" s="225"/>
      <c r="O8" s="225"/>
    </row>
    <row r="9" spans="1:15" x14ac:dyDescent="0.25">
      <c r="B9" s="4" t="s">
        <v>146</v>
      </c>
      <c r="C9" s="4">
        <f t="shared" ref="C9:D9" si="4">C26</f>
        <v>23613</v>
      </c>
      <c r="D9" s="4">
        <f t="shared" si="4"/>
        <v>23886</v>
      </c>
      <c r="E9" s="4">
        <f>E26</f>
        <v>23305</v>
      </c>
      <c r="F9" s="187">
        <f>Assumptions!F15</f>
        <v>0</v>
      </c>
      <c r="G9" s="187">
        <f>Assumptions!G15</f>
        <v>0</v>
      </c>
      <c r="H9" s="187">
        <f>Assumptions!H15</f>
        <v>0</v>
      </c>
      <c r="I9" s="187">
        <f>Assumptions!I15</f>
        <v>0</v>
      </c>
      <c r="J9" s="337">
        <f>Assumptions!J15</f>
        <v>0</v>
      </c>
      <c r="K9" s="225"/>
      <c r="L9" s="225"/>
      <c r="M9" s="225"/>
      <c r="N9" s="225"/>
      <c r="O9" s="225"/>
    </row>
    <row r="10" spans="1:15" x14ac:dyDescent="0.25">
      <c r="B10" s="32" t="s">
        <v>47</v>
      </c>
      <c r="C10" s="44">
        <f t="shared" ref="C10:D10" si="5">C33/C31</f>
        <v>0.21632570896555195</v>
      </c>
      <c r="D10" s="44">
        <f t="shared" si="5"/>
        <v>0.22928827193799969</v>
      </c>
      <c r="E10" s="44">
        <f>E33/E31</f>
        <v>0.25123160969458763</v>
      </c>
      <c r="F10" s="185">
        <f>Assumptions!F16</f>
        <v>0.25123160969458763</v>
      </c>
      <c r="G10" s="185">
        <f>Assumptions!G16</f>
        <v>0.25123160969458763</v>
      </c>
      <c r="H10" s="185">
        <f>Assumptions!H16</f>
        <v>0.25123160969458763</v>
      </c>
      <c r="I10" s="185">
        <f>Assumptions!I16</f>
        <v>0.25123160969458763</v>
      </c>
      <c r="J10" s="335">
        <f>Assumptions!J16</f>
        <v>0.25123160969458763</v>
      </c>
      <c r="K10" s="223"/>
      <c r="L10" s="223"/>
      <c r="M10" s="223"/>
      <c r="N10" s="223"/>
      <c r="O10" s="223"/>
    </row>
    <row r="11" spans="1:15" x14ac:dyDescent="0.25">
      <c r="B11" s="4" t="s">
        <v>140</v>
      </c>
      <c r="C11" s="349">
        <f>C35</f>
        <v>1.196449628708927</v>
      </c>
      <c r="D11" s="349">
        <f t="shared" ref="D11:E11" si="6">D35</f>
        <v>1.199372876927097</v>
      </c>
      <c r="E11" s="349">
        <f t="shared" si="6"/>
        <v>1.1954125452145441</v>
      </c>
      <c r="F11" s="187">
        <f>Assumptions!F17</f>
        <v>1.1954125452145441</v>
      </c>
      <c r="G11" s="187">
        <f>Assumptions!G17</f>
        <v>1.1954125452145441</v>
      </c>
      <c r="H11" s="187">
        <f>Assumptions!H17</f>
        <v>1.1954125452145441</v>
      </c>
      <c r="I11" s="187">
        <f>Assumptions!I17</f>
        <v>1.1954125452145441</v>
      </c>
      <c r="J11" s="187">
        <f>Assumptions!J17</f>
        <v>1.1954125452145441</v>
      </c>
      <c r="K11" s="226"/>
      <c r="L11" s="226"/>
      <c r="M11" s="226"/>
      <c r="N11" s="226"/>
      <c r="O11" s="226"/>
    </row>
    <row r="12" spans="1:15" x14ac:dyDescent="0.25">
      <c r="B12" s="4" t="s">
        <v>48</v>
      </c>
      <c r="C12" s="32">
        <f>C38</f>
        <v>62754</v>
      </c>
      <c r="D12" s="32">
        <f t="shared" ref="D12:E12" si="7">D38</f>
        <v>61232</v>
      </c>
      <c r="E12" s="32">
        <f t="shared" si="7"/>
        <v>58333</v>
      </c>
      <c r="F12" s="187">
        <f>Assumptions!F18</f>
        <v>55434</v>
      </c>
      <c r="G12" s="187">
        <f>Assumptions!G18</f>
        <v>52535</v>
      </c>
      <c r="H12" s="187">
        <f>Assumptions!H18</f>
        <v>52535</v>
      </c>
      <c r="I12" s="187">
        <f>Assumptions!I18</f>
        <v>52535</v>
      </c>
      <c r="J12" s="337">
        <f>Assumptions!J18</f>
        <v>52535</v>
      </c>
      <c r="K12" s="225"/>
      <c r="L12" s="225"/>
      <c r="M12" s="225"/>
      <c r="N12" s="225"/>
      <c r="O12" s="225"/>
    </row>
    <row r="13" spans="1:15" x14ac:dyDescent="0.25">
      <c r="B13" s="4" t="s">
        <v>49</v>
      </c>
      <c r="C13" s="32">
        <f t="shared" ref="C13:E13" si="8">C39</f>
        <v>62970</v>
      </c>
      <c r="D13" s="32">
        <f t="shared" si="8"/>
        <v>61424</v>
      </c>
      <c r="E13" s="32">
        <f t="shared" si="8"/>
        <v>58502</v>
      </c>
      <c r="F13" s="187">
        <f>Assumptions!F19</f>
        <v>55580</v>
      </c>
      <c r="G13" s="187">
        <f>Assumptions!G19</f>
        <v>52658</v>
      </c>
      <c r="H13" s="187">
        <f>Assumptions!H19</f>
        <v>52658</v>
      </c>
      <c r="I13" s="187">
        <f>Assumptions!I19</f>
        <v>52658</v>
      </c>
      <c r="J13" s="337">
        <f>Assumptions!J19</f>
        <v>52658</v>
      </c>
      <c r="K13" s="225"/>
      <c r="L13" s="225"/>
      <c r="M13" s="225"/>
      <c r="N13" s="225"/>
      <c r="O13" s="225"/>
    </row>
    <row r="14" spans="1:15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4.85" customHeight="1" x14ac:dyDescent="0.25">
      <c r="A15" s="188" t="s">
        <v>41</v>
      </c>
      <c r="B15" s="189"/>
      <c r="C15" s="159">
        <f>C37</f>
        <v>44926</v>
      </c>
      <c r="D15" s="159">
        <f t="shared" ref="D15:J15" si="9">D37</f>
        <v>45291</v>
      </c>
      <c r="E15" s="159">
        <f t="shared" si="9"/>
        <v>45657</v>
      </c>
      <c r="F15" s="159">
        <f t="shared" si="9"/>
        <v>46022</v>
      </c>
      <c r="G15" s="159">
        <f t="shared" si="9"/>
        <v>46022</v>
      </c>
      <c r="H15" s="159">
        <f t="shared" si="9"/>
        <v>46022</v>
      </c>
      <c r="I15" s="159">
        <f t="shared" si="9"/>
        <v>46022</v>
      </c>
      <c r="J15" s="159">
        <f t="shared" si="9"/>
        <v>46022</v>
      </c>
      <c r="K15" s="220"/>
      <c r="L15" s="220"/>
      <c r="M15" s="220"/>
      <c r="N15" s="220"/>
      <c r="O15" s="220"/>
    </row>
    <row r="16" spans="1:15" x14ac:dyDescent="0.25">
      <c r="B16" s="4" t="s">
        <v>50</v>
      </c>
      <c r="C16" s="99">
        <v>3464152</v>
      </c>
      <c r="D16" s="129">
        <v>3487203</v>
      </c>
      <c r="E16" s="24">
        <v>3368582</v>
      </c>
      <c r="F16" s="4">
        <f>E16*(1+F4)</f>
        <v>3318497.9200000004</v>
      </c>
      <c r="G16" s="4">
        <f t="shared" ref="G16:J16" si="10">F16*(1+G4)</f>
        <v>3338145.9187432998</v>
      </c>
      <c r="H16" s="4">
        <f t="shared" si="10"/>
        <v>3360335.9473479777</v>
      </c>
      <c r="I16" s="4">
        <f t="shared" si="10"/>
        <v>3385162.0333989817</v>
      </c>
      <c r="J16" s="4">
        <f t="shared" si="10"/>
        <v>3412723.5950932098</v>
      </c>
    </row>
    <row r="17" spans="1:15" x14ac:dyDescent="0.25">
      <c r="B17" s="4" t="s">
        <v>158</v>
      </c>
      <c r="C17" s="129">
        <v>1753074</v>
      </c>
      <c r="D17" s="129">
        <v>1757271</v>
      </c>
      <c r="E17" s="24">
        <v>1677497</v>
      </c>
      <c r="F17" s="183">
        <f>F16*F5</f>
        <v>1652555.9731976958</v>
      </c>
      <c r="G17" s="183">
        <f t="shared" ref="G17:J17" si="11">G16*G5</f>
        <v>1662340.345063332</v>
      </c>
      <c r="H17" s="183">
        <f t="shared" si="11"/>
        <v>1673390.6049098375</v>
      </c>
      <c r="I17" s="183">
        <f t="shared" si="11"/>
        <v>1685753.5768880472</v>
      </c>
      <c r="J17" s="183">
        <f t="shared" si="11"/>
        <v>1699478.769582594</v>
      </c>
      <c r="K17" s="222"/>
      <c r="L17" s="222"/>
      <c r="M17" s="222"/>
      <c r="N17" s="222"/>
      <c r="O17" s="222"/>
    </row>
    <row r="18" spans="1:15" x14ac:dyDescent="0.25">
      <c r="B18" s="4" t="s">
        <v>51</v>
      </c>
      <c r="C18" s="129">
        <v>1304394</v>
      </c>
      <c r="D18" s="129">
        <v>1416313</v>
      </c>
      <c r="E18" s="24">
        <v>1443906</v>
      </c>
      <c r="F18" s="183">
        <f>F16*F6</f>
        <v>1393769.1264000002</v>
      </c>
      <c r="G18" s="183">
        <f t="shared" ref="G18:J18" si="12">G16*G6</f>
        <v>1402021.2858721858</v>
      </c>
      <c r="H18" s="183">
        <f t="shared" si="12"/>
        <v>1411341.0978861505</v>
      </c>
      <c r="I18" s="183">
        <f t="shared" si="12"/>
        <v>1421768.0540275723</v>
      </c>
      <c r="J18" s="183">
        <f t="shared" si="12"/>
        <v>1433343.909939148</v>
      </c>
      <c r="K18" s="222"/>
      <c r="L18" s="222"/>
      <c r="M18" s="222"/>
      <c r="N18" s="222"/>
      <c r="O18" s="222"/>
    </row>
    <row r="19" spans="1:15" s="11" customFormat="1" x14ac:dyDescent="0.25">
      <c r="A19" s="11" t="s">
        <v>124</v>
      </c>
      <c r="B19" s="18" t="s">
        <v>54</v>
      </c>
      <c r="C19" s="19">
        <f>C16-SUM(C17:C18)</f>
        <v>406684</v>
      </c>
      <c r="D19" s="19">
        <f>D16-SUM(D17:D18)</f>
        <v>313619</v>
      </c>
      <c r="E19" s="19">
        <f>E16-SUM(E17:E18)</f>
        <v>247179</v>
      </c>
      <c r="F19" s="19">
        <f>F16-SUM(F17:F18)</f>
        <v>272172.82040230418</v>
      </c>
      <c r="G19" s="19">
        <f t="shared" ref="G19:J19" si="13">G16-SUM(G17:G18)</f>
        <v>273784.28780778171</v>
      </c>
      <c r="H19" s="19">
        <f t="shared" si="13"/>
        <v>275604.24455198972</v>
      </c>
      <c r="I19" s="19">
        <f t="shared" si="13"/>
        <v>277640.40248336224</v>
      </c>
      <c r="J19" s="20">
        <f t="shared" si="13"/>
        <v>279900.91557146749</v>
      </c>
      <c r="K19" s="330"/>
      <c r="L19" s="330"/>
      <c r="M19" s="330"/>
    </row>
    <row r="20" spans="1:15" s="11" customFormat="1" x14ac:dyDescent="0.25">
      <c r="E20" s="36"/>
      <c r="K20" s="325"/>
      <c r="L20" s="325"/>
      <c r="M20" s="325"/>
    </row>
    <row r="21" spans="1:15" s="11" customFormat="1" x14ac:dyDescent="0.25">
      <c r="B21" s="4" t="s">
        <v>14</v>
      </c>
      <c r="C21" s="130">
        <v>53100</v>
      </c>
      <c r="D21" s="130">
        <v>56400</v>
      </c>
      <c r="E21" s="27">
        <v>55300</v>
      </c>
      <c r="F21" s="4">
        <f>Calcs!F8</f>
        <v>54458.221741082772</v>
      </c>
      <c r="G21" s="4">
        <f>Calcs!G8</f>
        <v>59068.453878145949</v>
      </c>
      <c r="H21" s="4">
        <f>Calcs!H8</f>
        <v>62880.604591364106</v>
      </c>
      <c r="I21" s="4">
        <f>Calcs!I8</f>
        <v>66059.861749402087</v>
      </c>
      <c r="J21" s="4">
        <f>Calcs!J8</f>
        <v>68740.043126624761</v>
      </c>
      <c r="K21" s="310"/>
      <c r="L21" s="310"/>
      <c r="M21" s="310"/>
      <c r="N21" s="4"/>
      <c r="O21" s="4"/>
    </row>
    <row r="22" spans="1:15" s="11" customFormat="1" x14ac:dyDescent="0.25">
      <c r="B22" s="4" t="s">
        <v>53</v>
      </c>
      <c r="C22" s="99">
        <v>1700</v>
      </c>
      <c r="D22" s="99">
        <v>1700</v>
      </c>
      <c r="E22" s="131">
        <f>37198-36511</f>
        <v>687</v>
      </c>
      <c r="F22" s="4">
        <f>F7</f>
        <v>0</v>
      </c>
      <c r="G22" s="4">
        <f t="shared" ref="G22:J22" si="14">G7</f>
        <v>0</v>
      </c>
      <c r="H22" s="4">
        <f t="shared" si="14"/>
        <v>0</v>
      </c>
      <c r="I22" s="4">
        <f t="shared" si="14"/>
        <v>0</v>
      </c>
      <c r="J22" s="4">
        <f t="shared" si="14"/>
        <v>0</v>
      </c>
      <c r="K22" s="310"/>
      <c r="L22" s="310"/>
      <c r="M22" s="310"/>
      <c r="N22" s="4"/>
      <c r="O22" s="4"/>
    </row>
    <row r="23" spans="1:15" s="134" customFormat="1" x14ac:dyDescent="0.25">
      <c r="A23" s="134" t="s">
        <v>124</v>
      </c>
      <c r="B23" s="135" t="s">
        <v>52</v>
      </c>
      <c r="C23" s="136">
        <f>C19+C21</f>
        <v>459784</v>
      </c>
      <c r="D23" s="136">
        <f t="shared" ref="D23:F23" si="15">D19+D21</f>
        <v>370019</v>
      </c>
      <c r="E23" s="136">
        <f t="shared" si="15"/>
        <v>302479</v>
      </c>
      <c r="F23" s="136">
        <f t="shared" si="15"/>
        <v>326631.04214338696</v>
      </c>
      <c r="G23" s="136">
        <f t="shared" ref="G23:J23" si="16">G19+G21</f>
        <v>332852.74168592767</v>
      </c>
      <c r="H23" s="136">
        <f t="shared" si="16"/>
        <v>338484.84914335381</v>
      </c>
      <c r="I23" s="136">
        <f t="shared" si="16"/>
        <v>343700.26423276431</v>
      </c>
      <c r="J23" s="334">
        <f t="shared" si="16"/>
        <v>348640.95869809226</v>
      </c>
      <c r="K23" s="330"/>
      <c r="L23" s="330"/>
      <c r="M23" s="330"/>
    </row>
    <row r="24" spans="1:15" s="11" customFormat="1" x14ac:dyDescent="0.25">
      <c r="C24" s="14"/>
      <c r="D24" s="4"/>
      <c r="E24" s="37"/>
      <c r="F24" s="4"/>
      <c r="G24" s="4"/>
      <c r="H24" s="4"/>
      <c r="I24" s="4"/>
      <c r="J24" s="4"/>
      <c r="K24" s="331"/>
      <c r="L24" s="331"/>
      <c r="M24" s="331"/>
      <c r="N24" s="14"/>
      <c r="O24" s="14"/>
    </row>
    <row r="25" spans="1:15" s="11" customFormat="1" x14ac:dyDescent="0.25">
      <c r="B25" s="4" t="s">
        <v>55</v>
      </c>
      <c r="C25" s="97">
        <v>-35600</v>
      </c>
      <c r="D25" s="97">
        <v>-25000</v>
      </c>
      <c r="E25" s="98">
        <v>0</v>
      </c>
      <c r="F25" s="4">
        <f>F8</f>
        <v>0</v>
      </c>
      <c r="G25" s="4">
        <f t="shared" ref="G25:J25" si="17">G8</f>
        <v>0</v>
      </c>
      <c r="H25" s="4">
        <f t="shared" si="17"/>
        <v>0</v>
      </c>
      <c r="I25" s="4">
        <f t="shared" si="17"/>
        <v>0</v>
      </c>
      <c r="J25" s="4">
        <f t="shared" si="17"/>
        <v>0</v>
      </c>
      <c r="K25" s="310"/>
      <c r="L25" s="310"/>
      <c r="M25" s="310"/>
      <c r="N25" s="4"/>
      <c r="O25" s="4"/>
    </row>
    <row r="26" spans="1:15" s="11" customFormat="1" x14ac:dyDescent="0.25">
      <c r="B26" s="4" t="s">
        <v>56</v>
      </c>
      <c r="C26" s="97">
        <f>22020+1593</f>
        <v>23613</v>
      </c>
      <c r="D26" s="97">
        <f>21665+2221</f>
        <v>23886</v>
      </c>
      <c r="E26" s="98">
        <f>23562-257</f>
        <v>23305</v>
      </c>
      <c r="F26" s="4">
        <f>F9</f>
        <v>0</v>
      </c>
      <c r="G26" s="4">
        <f t="shared" ref="G26:J26" si="18">G9</f>
        <v>0</v>
      </c>
      <c r="H26" s="4">
        <f t="shared" si="18"/>
        <v>0</v>
      </c>
      <c r="I26" s="4">
        <f t="shared" si="18"/>
        <v>0</v>
      </c>
      <c r="J26" s="4">
        <f t="shared" si="18"/>
        <v>0</v>
      </c>
      <c r="K26" s="310"/>
      <c r="L26" s="310"/>
      <c r="M26" s="310"/>
      <c r="N26" s="4"/>
      <c r="O26" s="4"/>
    </row>
    <row r="27" spans="1:15" s="11" customFormat="1" x14ac:dyDescent="0.25">
      <c r="B27" s="4"/>
      <c r="C27" s="10"/>
      <c r="D27" s="10"/>
      <c r="E27" s="24"/>
      <c r="F27" s="4"/>
      <c r="G27" s="4"/>
      <c r="H27" s="4"/>
      <c r="I27" s="4"/>
      <c r="J27" s="4"/>
      <c r="K27" s="310"/>
      <c r="L27" s="310"/>
      <c r="M27" s="310"/>
      <c r="N27" s="4"/>
      <c r="O27" s="4"/>
    </row>
    <row r="28" spans="1:15" s="11" customFormat="1" x14ac:dyDescent="0.25">
      <c r="B28" s="4" t="s">
        <v>40</v>
      </c>
      <c r="C28" s="9">
        <v>2713</v>
      </c>
      <c r="D28" s="9">
        <v>13687</v>
      </c>
      <c r="E28" s="46">
        <v>27703</v>
      </c>
      <c r="F28" s="382">
        <f>IF(circ=1,Debt!F33,0)</f>
        <v>0</v>
      </c>
      <c r="G28" s="382">
        <f>IF(circ=1,Debt!G33,0)</f>
        <v>0</v>
      </c>
      <c r="H28" s="382">
        <f>IF(circ=1,Debt!H33,0)</f>
        <v>0</v>
      </c>
      <c r="I28" s="382">
        <f>IF(circ=1,Debt!I33,0)</f>
        <v>0</v>
      </c>
      <c r="J28" s="382">
        <f>IF(circ=1,Debt!J33,0)</f>
        <v>0</v>
      </c>
      <c r="K28" s="193"/>
      <c r="L28" s="193"/>
      <c r="M28" s="193"/>
      <c r="N28" s="193"/>
      <c r="O28" s="193"/>
    </row>
    <row r="29" spans="1:15" x14ac:dyDescent="0.25">
      <c r="B29" s="4" t="s">
        <v>32</v>
      </c>
      <c r="C29" s="9">
        <v>0</v>
      </c>
      <c r="D29" s="9">
        <v>0</v>
      </c>
      <c r="E29" s="46">
        <v>0</v>
      </c>
      <c r="F29" s="382">
        <v>0</v>
      </c>
      <c r="G29" s="382">
        <v>0</v>
      </c>
      <c r="H29" s="382">
        <v>0</v>
      </c>
      <c r="I29" s="382">
        <v>0</v>
      </c>
      <c r="J29" s="382">
        <v>0</v>
      </c>
      <c r="K29" s="193"/>
      <c r="L29" s="193"/>
      <c r="M29" s="193"/>
      <c r="N29" s="193"/>
      <c r="O29" s="193"/>
    </row>
    <row r="30" spans="1:15" x14ac:dyDescent="0.25">
      <c r="C30" s="10"/>
      <c r="D30" s="10"/>
      <c r="E30" s="24"/>
      <c r="H30" s="4"/>
    </row>
    <row r="31" spans="1:15" s="11" customFormat="1" x14ac:dyDescent="0.25">
      <c r="A31" s="11" t="s">
        <v>124</v>
      </c>
      <c r="B31" s="18" t="s">
        <v>84</v>
      </c>
      <c r="C31" s="19">
        <f>C19+SUM(C25:C29)</f>
        <v>397410</v>
      </c>
      <c r="D31" s="19">
        <f>D19+SUM(D25:D29)</f>
        <v>326192</v>
      </c>
      <c r="E31" s="19">
        <f>E19+SUM(E25:E29)</f>
        <v>298187</v>
      </c>
      <c r="F31" s="19">
        <f>F19+SUM(F25:F29)</f>
        <v>272172.82040230418</v>
      </c>
      <c r="G31" s="19">
        <f t="shared" ref="G31:J31" si="19">G19+SUM(G25:G29)</f>
        <v>273784.28780778171</v>
      </c>
      <c r="H31" s="19">
        <f t="shared" si="19"/>
        <v>275604.24455198972</v>
      </c>
      <c r="I31" s="19">
        <f t="shared" si="19"/>
        <v>277640.40248336224</v>
      </c>
      <c r="J31" s="20">
        <f t="shared" si="19"/>
        <v>279900.91557146749</v>
      </c>
      <c r="K31" s="325"/>
      <c r="L31" s="325"/>
      <c r="M31" s="325"/>
    </row>
    <row r="32" spans="1:15" x14ac:dyDescent="0.25">
      <c r="E32" s="38"/>
      <c r="H32" s="4"/>
    </row>
    <row r="33" spans="1:15" x14ac:dyDescent="0.25">
      <c r="B33" s="4" t="s">
        <v>57</v>
      </c>
      <c r="C33" s="138">
        <v>85970</v>
      </c>
      <c r="D33" s="4">
        <v>74792</v>
      </c>
      <c r="E33" s="60">
        <v>74914</v>
      </c>
      <c r="F33" s="4">
        <f>F31*F10</f>
        <v>68378.415784786775</v>
      </c>
      <c r="G33" s="4">
        <f t="shared" ref="G33:J33" si="20">G31*G10</f>
        <v>68783.267335035256</v>
      </c>
      <c r="H33" s="4">
        <f t="shared" si="20"/>
        <v>69240.497997457162</v>
      </c>
      <c r="I33" s="4">
        <f t="shared" si="20"/>
        <v>69752.045232148273</v>
      </c>
      <c r="J33" s="4">
        <f t="shared" si="20"/>
        <v>70319.957574008644</v>
      </c>
    </row>
    <row r="34" spans="1:15" s="11" customFormat="1" x14ac:dyDescent="0.25">
      <c r="A34" s="11" t="s">
        <v>124</v>
      </c>
      <c r="B34" s="18" t="s">
        <v>58</v>
      </c>
      <c r="C34" s="19">
        <f t="shared" ref="C34:F34" si="21">C31-C33</f>
        <v>311440</v>
      </c>
      <c r="D34" s="35">
        <f t="shared" si="21"/>
        <v>251400</v>
      </c>
      <c r="E34" s="19">
        <f t="shared" si="21"/>
        <v>223273</v>
      </c>
      <c r="F34" s="19">
        <f t="shared" si="21"/>
        <v>203794.4046175174</v>
      </c>
      <c r="G34" s="19">
        <f t="shared" ref="G34:J34" si="22">G31-G33</f>
        <v>205001.02047274646</v>
      </c>
      <c r="H34" s="19">
        <f t="shared" si="22"/>
        <v>206363.74655453255</v>
      </c>
      <c r="I34" s="19">
        <f t="shared" si="22"/>
        <v>207888.35725121398</v>
      </c>
      <c r="J34" s="20">
        <f t="shared" si="22"/>
        <v>209580.95799745884</v>
      </c>
      <c r="K34" s="325"/>
      <c r="L34" s="325"/>
      <c r="M34" s="325"/>
    </row>
    <row r="35" spans="1:15" x14ac:dyDescent="0.25">
      <c r="B35" s="4" t="s">
        <v>200</v>
      </c>
      <c r="C35" s="346">
        <f t="shared" ref="C35:D35" si="23">C36/C38</f>
        <v>1.196449628708927</v>
      </c>
      <c r="D35" s="346">
        <f t="shared" si="23"/>
        <v>1.199372876927097</v>
      </c>
      <c r="E35" s="347">
        <f>E36/E38</f>
        <v>1.1954125452145441</v>
      </c>
      <c r="F35" s="349">
        <f>F11</f>
        <v>1.1954125452145441</v>
      </c>
      <c r="G35" s="349">
        <f t="shared" ref="G35:J35" si="24">G11</f>
        <v>1.1954125452145441</v>
      </c>
      <c r="H35" s="349">
        <f t="shared" si="24"/>
        <v>1.1954125452145441</v>
      </c>
      <c r="I35" s="349">
        <f t="shared" si="24"/>
        <v>1.1954125452145441</v>
      </c>
      <c r="J35" s="349">
        <f t="shared" si="24"/>
        <v>1.1954125452145441</v>
      </c>
      <c r="K35" s="329"/>
      <c r="L35" s="329"/>
      <c r="M35" s="329"/>
    </row>
    <row r="36" spans="1:15" x14ac:dyDescent="0.25">
      <c r="B36" s="4" t="s">
        <v>59</v>
      </c>
      <c r="C36" s="10">
        <v>75082</v>
      </c>
      <c r="D36" s="10">
        <v>73440</v>
      </c>
      <c r="E36" s="24">
        <v>69732</v>
      </c>
      <c r="F36" s="4">
        <f>F35*F38</f>
        <v>66266.499031423038</v>
      </c>
      <c r="G36" s="4">
        <f t="shared" ref="G36:J36" si="25">G35*G38</f>
        <v>62800.998062846076</v>
      </c>
      <c r="H36" s="4">
        <f t="shared" si="25"/>
        <v>62800.998062846076</v>
      </c>
      <c r="I36" s="4">
        <f t="shared" si="25"/>
        <v>62800.998062846076</v>
      </c>
      <c r="J36" s="4">
        <f t="shared" si="25"/>
        <v>62800.998062846076</v>
      </c>
    </row>
    <row r="37" spans="1:15" x14ac:dyDescent="0.25">
      <c r="A37" s="22" t="s">
        <v>60</v>
      </c>
      <c r="B37" s="21"/>
      <c r="C37" s="56">
        <v>44926</v>
      </c>
      <c r="D37" s="56">
        <v>45291</v>
      </c>
      <c r="E37" s="56">
        <v>45657</v>
      </c>
      <c r="F37" s="56">
        <v>46022</v>
      </c>
      <c r="G37" s="56">
        <v>46022</v>
      </c>
      <c r="H37" s="56">
        <v>46022</v>
      </c>
      <c r="I37" s="56">
        <v>46022</v>
      </c>
      <c r="J37" s="56">
        <v>46022</v>
      </c>
      <c r="K37" s="326"/>
      <c r="L37" s="326"/>
      <c r="M37" s="326"/>
      <c r="N37" s="217"/>
      <c r="O37" s="217"/>
    </row>
    <row r="38" spans="1:15" x14ac:dyDescent="0.25">
      <c r="B38" s="4" t="s">
        <v>48</v>
      </c>
      <c r="C38" s="10">
        <v>62754</v>
      </c>
      <c r="D38" s="10">
        <v>61232</v>
      </c>
      <c r="E38" s="24">
        <v>58333</v>
      </c>
      <c r="F38" s="184">
        <f>F12</f>
        <v>55434</v>
      </c>
      <c r="G38" s="184">
        <f t="shared" ref="G38:J38" si="26">G12</f>
        <v>52535</v>
      </c>
      <c r="H38" s="184">
        <f t="shared" si="26"/>
        <v>52535</v>
      </c>
      <c r="I38" s="184">
        <f t="shared" si="26"/>
        <v>52535</v>
      </c>
      <c r="J38" s="184">
        <f t="shared" si="26"/>
        <v>52535</v>
      </c>
      <c r="K38" s="222"/>
      <c r="L38" s="222"/>
      <c r="M38" s="222"/>
      <c r="N38" s="222"/>
      <c r="O38" s="222"/>
    </row>
    <row r="39" spans="1:15" x14ac:dyDescent="0.25">
      <c r="B39" s="4" t="s">
        <v>49</v>
      </c>
      <c r="C39" s="10">
        <v>62970</v>
      </c>
      <c r="D39" s="10">
        <v>61424</v>
      </c>
      <c r="E39" s="24">
        <v>58502</v>
      </c>
      <c r="F39" s="184">
        <f>F13</f>
        <v>55580</v>
      </c>
      <c r="G39" s="184">
        <f t="shared" ref="G39:J39" si="27">G13</f>
        <v>52658</v>
      </c>
      <c r="H39" s="184">
        <f t="shared" si="27"/>
        <v>52658</v>
      </c>
      <c r="I39" s="184">
        <f t="shared" si="27"/>
        <v>52658</v>
      </c>
      <c r="J39" s="184">
        <f t="shared" si="27"/>
        <v>52658</v>
      </c>
      <c r="K39" s="222"/>
      <c r="L39" s="222"/>
      <c r="M39" s="222"/>
      <c r="N39" s="222"/>
      <c r="O39" s="222"/>
    </row>
    <row r="40" spans="1:15" x14ac:dyDescent="0.25">
      <c r="B40" s="4" t="s">
        <v>61</v>
      </c>
      <c r="C40" s="191">
        <f t="shared" ref="C40:D40" si="28">C34/C38</f>
        <v>4.9628708926920995</v>
      </c>
      <c r="D40" s="191">
        <f t="shared" si="28"/>
        <v>4.1056963679122029</v>
      </c>
      <c r="E40" s="192">
        <f>E34/E38</f>
        <v>3.8275590146229406</v>
      </c>
      <c r="F40" s="383">
        <f>F34/F38</f>
        <v>3.6763431218659561</v>
      </c>
      <c r="G40" s="383">
        <f t="shared" ref="G40:J40" si="29">G34/G38</f>
        <v>3.9021798890786421</v>
      </c>
      <c r="H40" s="383">
        <f t="shared" si="29"/>
        <v>3.9281192834211964</v>
      </c>
      <c r="I40" s="383">
        <f t="shared" si="29"/>
        <v>3.9571401399298369</v>
      </c>
      <c r="J40" s="383">
        <f t="shared" si="29"/>
        <v>3.9893586751205641</v>
      </c>
      <c r="K40" s="222"/>
      <c r="L40" s="222"/>
      <c r="M40" s="222"/>
      <c r="N40" s="222"/>
      <c r="O40" s="222"/>
    </row>
    <row r="41" spans="1:15" s="11" customFormat="1" x14ac:dyDescent="0.25">
      <c r="A41" s="11" t="s">
        <v>124</v>
      </c>
      <c r="B41" s="18" t="s">
        <v>62</v>
      </c>
      <c r="C41" s="190">
        <f t="shared" ref="C41:D41" si="30">C34/C39</f>
        <v>4.9458472288391295</v>
      </c>
      <c r="D41" s="190">
        <f t="shared" si="30"/>
        <v>4.0928627246678824</v>
      </c>
      <c r="E41" s="190">
        <f>E34/E39</f>
        <v>3.8165019999316261</v>
      </c>
      <c r="F41" s="190">
        <f>F34/F39</f>
        <v>3.6666859413011408</v>
      </c>
      <c r="G41" s="190">
        <f t="shared" ref="G41:J41" si="31">G34/G39</f>
        <v>3.8930650703168834</v>
      </c>
      <c r="H41" s="190">
        <f t="shared" si="31"/>
        <v>3.9189438747110135</v>
      </c>
      <c r="I41" s="190">
        <f t="shared" si="31"/>
        <v>3.9478969435074247</v>
      </c>
      <c r="J41" s="333">
        <f t="shared" si="31"/>
        <v>3.9800402217603943</v>
      </c>
      <c r="K41" s="332"/>
      <c r="L41" s="332"/>
      <c r="M41" s="332"/>
      <c r="N41" s="227"/>
      <c r="O41" s="227"/>
    </row>
    <row r="42" spans="1:15" x14ac:dyDescent="0.25">
      <c r="C42" s="15"/>
      <c r="D42" s="15"/>
      <c r="E42" s="39"/>
      <c r="F42" s="15"/>
      <c r="G42" s="15"/>
      <c r="H42" s="15"/>
      <c r="I42" s="15"/>
      <c r="J42" s="15"/>
    </row>
    <row r="43" spans="1:15" x14ac:dyDescent="0.25">
      <c r="D43" s="15"/>
      <c r="E43" s="15"/>
      <c r="F43" s="15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autoPageBreaks="0" fitToPage="1"/>
  </sheetPr>
  <dimension ref="A1:O54"/>
  <sheetViews>
    <sheetView showGridLines="0" zoomScaleNormal="100" workbookViewId="0">
      <selection activeCell="E33" sqref="E33"/>
    </sheetView>
  </sheetViews>
  <sheetFormatPr defaultColWidth="8.85546875" defaultRowHeight="15" x14ac:dyDescent="0.25"/>
  <cols>
    <col min="1" max="1" width="1.7109375" style="4" customWidth="1"/>
    <col min="2" max="2" width="42.85546875" style="4" customWidth="1"/>
    <col min="3" max="8" width="12.28515625" style="4" customWidth="1"/>
    <col min="9" max="10" width="12.28515625" style="6" customWidth="1"/>
    <col min="11" max="13" width="11.7109375" style="310" customWidth="1"/>
    <col min="14" max="256" width="8.85546875" style="4"/>
    <col min="257" max="257" width="1.7109375" style="4" customWidth="1"/>
    <col min="258" max="258" width="42.855468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2.855468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2.855468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2.855468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2.855468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2.855468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2.855468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2.855468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2.855468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2.855468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2.855468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2.855468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2.855468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2.855468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2.855468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2.855468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2.855468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2.855468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2.855468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2.855468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2.855468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2.855468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2.855468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2.855468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2.855468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2.855468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2.855468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2.855468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2.855468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2.855468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2.855468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2.855468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2.855468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2.855468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2.855468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2.855468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2.855468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2.855468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2.855468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2.855468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2.855468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2.855468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2.855468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2.855468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2.855468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2.855468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2.855468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2.855468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2.855468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2.855468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2.855468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2.855468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2.855468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2.855468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2.855468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2.855468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2.855468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2.855468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2.855468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2.855468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2.855468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2.855468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2.855468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5" s="2" customFormat="1" ht="19.5" x14ac:dyDescent="0.3">
      <c r="A1" s="299" t="str">
        <f>CoName</f>
        <v>Columbia Sportswear Co.</v>
      </c>
      <c r="B1" s="3"/>
      <c r="C1" s="42" t="s">
        <v>0</v>
      </c>
      <c r="D1" s="42" t="s">
        <v>0</v>
      </c>
      <c r="E1" s="42" t="s">
        <v>0</v>
      </c>
      <c r="F1" s="42" t="s">
        <v>1</v>
      </c>
      <c r="G1" s="42" t="s">
        <v>1</v>
      </c>
      <c r="H1" s="42" t="s">
        <v>1</v>
      </c>
      <c r="I1" s="42" t="s">
        <v>1</v>
      </c>
      <c r="J1" s="42" t="s">
        <v>1</v>
      </c>
      <c r="K1" s="42"/>
      <c r="L1" s="42"/>
      <c r="M1" s="42"/>
      <c r="N1" s="42"/>
      <c r="O1" s="42"/>
    </row>
    <row r="2" spans="1:15" x14ac:dyDescent="0.25">
      <c r="A2" s="17" t="s">
        <v>9</v>
      </c>
      <c r="B2" s="65"/>
      <c r="C2" s="116">
        <v>44926</v>
      </c>
      <c r="D2" s="116">
        <v>45291</v>
      </c>
      <c r="E2" s="116">
        <v>45657</v>
      </c>
      <c r="F2" s="116">
        <v>46022</v>
      </c>
      <c r="G2" s="116">
        <v>46387</v>
      </c>
      <c r="H2" s="116">
        <v>46752</v>
      </c>
      <c r="I2" s="116">
        <v>47118</v>
      </c>
      <c r="J2" s="116">
        <v>47483</v>
      </c>
      <c r="K2" s="338"/>
      <c r="L2" s="338"/>
      <c r="M2" s="338"/>
      <c r="N2" s="228"/>
      <c r="O2" s="228"/>
    </row>
    <row r="3" spans="1:15" x14ac:dyDescent="0.25">
      <c r="K3" s="339"/>
      <c r="L3" s="339"/>
      <c r="M3" s="339"/>
      <c r="N3" s="6"/>
      <c r="O3" s="6"/>
    </row>
    <row r="4" spans="1:15" x14ac:dyDescent="0.25">
      <c r="B4" s="4" t="s">
        <v>141</v>
      </c>
      <c r="C4" s="348">
        <f>C15/IncState!C16</f>
        <v>2.5790454574314448E-2</v>
      </c>
      <c r="D4" s="348">
        <f>D15/IncState!D16</f>
        <v>2.7818208382485162E-2</v>
      </c>
      <c r="E4" s="45">
        <f>E15/IncState!E16</f>
        <v>2.9358843345026697E-2</v>
      </c>
      <c r="F4" s="104">
        <f>Assumptions!F44</f>
        <v>2.9358843345026697E-2</v>
      </c>
      <c r="G4" s="104">
        <f>Assumptions!G44</f>
        <v>2.9358843345026697E-2</v>
      </c>
      <c r="H4" s="104">
        <f>Assumptions!H44</f>
        <v>2.9358843345026697E-2</v>
      </c>
      <c r="I4" s="104">
        <f>Assumptions!I44</f>
        <v>2.9358843345026697E-2</v>
      </c>
      <c r="J4" s="104">
        <f>Assumptions!J44</f>
        <v>2.9358843345026697E-2</v>
      </c>
      <c r="K4" s="180"/>
      <c r="L4" s="180"/>
      <c r="M4" s="180"/>
      <c r="N4" s="180"/>
      <c r="O4" s="180"/>
    </row>
    <row r="5" spans="1:15" x14ac:dyDescent="0.25">
      <c r="B5" s="4" t="s">
        <v>154</v>
      </c>
      <c r="C5" s="44">
        <f>C17/IncState!C16</f>
        <v>0.15806494634184642</v>
      </c>
      <c r="D5" s="44">
        <f>D17/IncState!D16</f>
        <v>0.12132330695976117</v>
      </c>
      <c r="E5" s="45">
        <f>E17/IncState!E16</f>
        <v>0.12395096809280581</v>
      </c>
      <c r="F5" s="104">
        <f>Assumptions!F45</f>
        <v>0.12395096809280581</v>
      </c>
      <c r="G5" s="104">
        <f>Assumptions!G45</f>
        <v>0.12395096809280581</v>
      </c>
      <c r="H5" s="104">
        <f>Assumptions!H45</f>
        <v>0.12395096809280581</v>
      </c>
      <c r="I5" s="104">
        <f>Assumptions!I45</f>
        <v>0.12395096809280581</v>
      </c>
      <c r="J5" s="104">
        <f>Assumptions!J45</f>
        <v>0.12395096809280581</v>
      </c>
      <c r="K5" s="180"/>
      <c r="L5" s="180"/>
      <c r="M5" s="180"/>
      <c r="N5" s="180"/>
      <c r="O5" s="180"/>
    </row>
    <row r="6" spans="1:15" x14ac:dyDescent="0.25">
      <c r="B6" s="4" t="s">
        <v>64</v>
      </c>
      <c r="C6" s="44">
        <f>C18/IncState!C17</f>
        <v>0.58670940302577068</v>
      </c>
      <c r="D6" s="44">
        <f>D18/IncState!D17</f>
        <v>0.42468577698032917</v>
      </c>
      <c r="E6" s="45">
        <f>E18/IncState!E17</f>
        <v>0.41163411916683013</v>
      </c>
      <c r="F6" s="104">
        <f>Assumptions!F46</f>
        <v>0.41163411916683013</v>
      </c>
      <c r="G6" s="104">
        <f>Assumptions!G46</f>
        <v>0.41163411916683013</v>
      </c>
      <c r="H6" s="104">
        <f>Assumptions!H46</f>
        <v>0.41163411916683013</v>
      </c>
      <c r="I6" s="104">
        <f>Assumptions!I46</f>
        <v>0.41163411916683013</v>
      </c>
      <c r="J6" s="104">
        <f>Assumptions!J46</f>
        <v>0.41163411916683013</v>
      </c>
      <c r="K6" s="180"/>
      <c r="L6" s="180"/>
      <c r="M6" s="180"/>
      <c r="N6" s="180"/>
      <c r="O6" s="180"/>
    </row>
    <row r="7" spans="1:15" x14ac:dyDescent="0.25">
      <c r="B7" s="4" t="s">
        <v>65</v>
      </c>
      <c r="C7" s="44">
        <f>C19/IncState!C16</f>
        <v>3.7490271789459587E-2</v>
      </c>
      <c r="D7" s="44">
        <f>D19/IncState!D16</f>
        <v>2.3174446684061697E-2</v>
      </c>
      <c r="E7" s="45">
        <f>E19/IncState!E16</f>
        <v>2.5248309229224643E-2</v>
      </c>
      <c r="F7" s="104">
        <f>Assumptions!F47</f>
        <v>2.5248309229224643E-2</v>
      </c>
      <c r="G7" s="104">
        <f>Assumptions!G47</f>
        <v>2.5248309229224643E-2</v>
      </c>
      <c r="H7" s="104">
        <f>Assumptions!H47</f>
        <v>2.5248309229224643E-2</v>
      </c>
      <c r="I7" s="104">
        <f>Assumptions!I47</f>
        <v>2.5248309229224643E-2</v>
      </c>
      <c r="J7" s="104">
        <f>Assumptions!J47</f>
        <v>2.5248309229224643E-2</v>
      </c>
      <c r="K7" s="180"/>
      <c r="L7" s="180"/>
      <c r="M7" s="180"/>
      <c r="N7" s="180"/>
      <c r="O7" s="180"/>
    </row>
    <row r="8" spans="1:15" x14ac:dyDescent="0.25">
      <c r="B8" s="4" t="s">
        <v>66</v>
      </c>
      <c r="C8" s="348">
        <f>C24/IncState!C16</f>
        <v>0.14148888385959971</v>
      </c>
      <c r="D8" s="348">
        <f>D24/IncState!D16</f>
        <v>0.15211187877505267</v>
      </c>
      <c r="E8" s="45">
        <f>E24/IncState!E16</f>
        <v>0.17154399091368416</v>
      </c>
      <c r="F8" s="104">
        <f>Assumptions!F48</f>
        <v>0.17154399091368416</v>
      </c>
      <c r="G8" s="104">
        <f>Assumptions!G48</f>
        <v>0.17154399091368416</v>
      </c>
      <c r="H8" s="104">
        <f>Assumptions!H48</f>
        <v>0.17154399091368416</v>
      </c>
      <c r="I8" s="104">
        <f>Assumptions!I48</f>
        <v>0.17154399091368416</v>
      </c>
      <c r="J8" s="104">
        <f>Assumptions!J48</f>
        <v>0.17154399091368416</v>
      </c>
      <c r="K8" s="180"/>
      <c r="L8" s="180"/>
      <c r="M8" s="180"/>
      <c r="N8" s="180"/>
      <c r="O8" s="180"/>
    </row>
    <row r="9" spans="1:15" x14ac:dyDescent="0.25">
      <c r="C9" s="32"/>
      <c r="D9" s="32"/>
      <c r="E9" s="32"/>
      <c r="F9" s="105"/>
      <c r="G9" s="105"/>
      <c r="H9" s="105"/>
      <c r="I9" s="105"/>
      <c r="J9" s="105"/>
      <c r="K9" s="180"/>
      <c r="L9" s="180"/>
      <c r="M9" s="180"/>
      <c r="N9" s="180"/>
      <c r="O9" s="180"/>
    </row>
    <row r="10" spans="1:15" x14ac:dyDescent="0.25">
      <c r="B10" s="4" t="s">
        <v>153</v>
      </c>
      <c r="C10" s="348">
        <f>C30/IncState!C17</f>
        <v>0.38220463026660595</v>
      </c>
      <c r="D10" s="348">
        <f>D30/IncState!D17</f>
        <v>0.2990665640074866</v>
      </c>
      <c r="E10" s="45">
        <f>E30/IncState!E17</f>
        <v>0.41173724900849301</v>
      </c>
      <c r="F10" s="104">
        <f>Assumptions!F52</f>
        <v>0.41173724900849301</v>
      </c>
      <c r="G10" s="104">
        <f>Assumptions!G52</f>
        <v>0.41173724900849301</v>
      </c>
      <c r="H10" s="104">
        <f>Assumptions!H52</f>
        <v>0.41173724900849301</v>
      </c>
      <c r="I10" s="104">
        <f>Assumptions!I52</f>
        <v>0.41173724900849301</v>
      </c>
      <c r="J10" s="104">
        <f>Assumptions!J52</f>
        <v>0.41173724900849301</v>
      </c>
      <c r="K10" s="180"/>
      <c r="L10" s="180"/>
      <c r="M10" s="180"/>
      <c r="N10" s="180"/>
      <c r="O10" s="180"/>
    </row>
    <row r="11" spans="1:15" x14ac:dyDescent="0.25">
      <c r="B11" s="4" t="s">
        <v>67</v>
      </c>
      <c r="C11" s="44">
        <f>C31/IncState!C16</f>
        <v>1.9827363233483983E-2</v>
      </c>
      <c r="D11" s="44">
        <f>D31/IncState!D16</f>
        <v>2.0384818434716876E-2</v>
      </c>
      <c r="E11" s="45">
        <f>E31/IncState!E16</f>
        <v>2.2518970890422142E-2</v>
      </c>
      <c r="F11" s="104">
        <f>Assumptions!F53</f>
        <v>2.2518970890422142E-2</v>
      </c>
      <c r="G11" s="104">
        <f>Assumptions!G53</f>
        <v>2.2518970890422142E-2</v>
      </c>
      <c r="H11" s="104">
        <f>Assumptions!H53</f>
        <v>2.2518970890422142E-2</v>
      </c>
      <c r="I11" s="104">
        <f>Assumptions!I53</f>
        <v>2.2518970890422142E-2</v>
      </c>
      <c r="J11" s="104">
        <f>Assumptions!J53</f>
        <v>2.2518970890422142E-2</v>
      </c>
      <c r="K11" s="180"/>
      <c r="L11" s="180"/>
      <c r="M11" s="180"/>
      <c r="N11" s="180"/>
      <c r="O11" s="180"/>
    </row>
    <row r="12" spans="1:15" x14ac:dyDescent="0.25">
      <c r="B12" s="4" t="s">
        <v>68</v>
      </c>
      <c r="C12" s="44">
        <f>C35/IncState!C16</f>
        <v>0.10884020100734609</v>
      </c>
      <c r="D12" s="44">
        <f>D35/IncState!D16</f>
        <v>0.11578792516523988</v>
      </c>
      <c r="E12" s="45">
        <f>E35/IncState!E16</f>
        <v>0.12725859130043443</v>
      </c>
      <c r="F12" s="301">
        <f>Assumptions!F54</f>
        <v>0.12725859130043443</v>
      </c>
      <c r="G12" s="301">
        <f>Assumptions!G54</f>
        <v>0.12725859130043443</v>
      </c>
      <c r="H12" s="301">
        <f>Assumptions!H54</f>
        <v>0.12725859130043443</v>
      </c>
      <c r="I12" s="301">
        <f>Assumptions!I54</f>
        <v>0.12725859130043443</v>
      </c>
      <c r="J12" s="301">
        <f>Assumptions!J54</f>
        <v>0.12725859130043443</v>
      </c>
      <c r="K12" s="180"/>
      <c r="L12" s="180"/>
      <c r="M12" s="180"/>
      <c r="N12" s="180"/>
      <c r="O12" s="180"/>
    </row>
    <row r="13" spans="1:15" x14ac:dyDescent="0.25">
      <c r="C13" s="44"/>
      <c r="D13" s="44"/>
      <c r="E13" s="44"/>
      <c r="F13" s="105"/>
      <c r="G13" s="105"/>
      <c r="H13" s="105"/>
      <c r="I13" s="105"/>
      <c r="J13" s="105"/>
      <c r="K13" s="180"/>
      <c r="L13" s="180"/>
      <c r="M13" s="180"/>
      <c r="N13" s="180"/>
      <c r="O13" s="180"/>
    </row>
    <row r="14" spans="1:15" ht="15" customHeight="1" x14ac:dyDescent="0.25">
      <c r="A14" s="188" t="s">
        <v>63</v>
      </c>
      <c r="B14" s="189"/>
      <c r="C14" s="159">
        <f>C2</f>
        <v>44926</v>
      </c>
      <c r="D14" s="159">
        <f>D2</f>
        <v>45291</v>
      </c>
      <c r="E14" s="159">
        <f>E2</f>
        <v>45657</v>
      </c>
      <c r="F14" s="159">
        <f>F2</f>
        <v>46022</v>
      </c>
      <c r="G14" s="159">
        <f>G2</f>
        <v>46387</v>
      </c>
      <c r="H14" s="159">
        <f>H2</f>
        <v>46752</v>
      </c>
      <c r="I14" s="159">
        <f>I2</f>
        <v>47118</v>
      </c>
      <c r="J14" s="159">
        <f>J2</f>
        <v>47483</v>
      </c>
      <c r="K14" s="220"/>
      <c r="L14" s="220"/>
      <c r="M14" s="220"/>
      <c r="N14" s="220"/>
      <c r="O14" s="220"/>
    </row>
    <row r="15" spans="1:15" x14ac:dyDescent="0.25">
      <c r="B15" s="4" t="s">
        <v>159</v>
      </c>
      <c r="C15" s="345">
        <f>(IncState!C18/365)*25</f>
        <v>89342.054794520547</v>
      </c>
      <c r="D15" s="345">
        <f>(IncState!D18/365)*25</f>
        <v>97007.739726027401</v>
      </c>
      <c r="E15" s="197">
        <f>(IncState!E18/365)*25</f>
        <v>98897.671232876717</v>
      </c>
      <c r="F15" s="4">
        <f>F4*IncState!F16</f>
        <v>97427.26057407695</v>
      </c>
      <c r="G15" s="4">
        <f>G4*IncState!G16</f>
        <v>98004.103091224752</v>
      </c>
      <c r="H15" s="4">
        <f>H4*IncState!H16</f>
        <v>98655.576664851149</v>
      </c>
      <c r="I15" s="4">
        <f>I4*IncState!I16</f>
        <v>99384.441836092738</v>
      </c>
      <c r="J15" s="4">
        <f>J4*IncState!J16</f>
        <v>100193.61740821786</v>
      </c>
    </row>
    <row r="16" spans="1:15" x14ac:dyDescent="0.25">
      <c r="B16" s="4" t="s">
        <v>160</v>
      </c>
      <c r="C16" s="196">
        <f>430241+722-C15</f>
        <v>341620.94520547945</v>
      </c>
      <c r="D16" s="196">
        <f>350319+414185-D15</f>
        <v>667496.26027397264</v>
      </c>
      <c r="E16" s="197">
        <f>531869+283608-E15</f>
        <v>716579.32876712328</v>
      </c>
      <c r="F16" s="307">
        <f>MAX(CashFlow!F23,0)</f>
        <v>539987.78541381075</v>
      </c>
      <c r="G16" s="307">
        <f>MAX(CashFlow!G23,0)</f>
        <v>344648.8897741434</v>
      </c>
      <c r="H16" s="307">
        <f>MAX(CashFlow!H23,0)</f>
        <v>467251.47318791016</v>
      </c>
      <c r="I16" s="307">
        <f>MAX(CashFlow!I23,0)</f>
        <v>593443.41177719005</v>
      </c>
      <c r="J16" s="307">
        <f>MAX(CashFlow!J23,0)</f>
        <v>722809.07626381062</v>
      </c>
    </row>
    <row r="17" spans="1:15" x14ac:dyDescent="0.25">
      <c r="B17" s="4" t="s">
        <v>69</v>
      </c>
      <c r="C17" s="198">
        <v>547561</v>
      </c>
      <c r="D17" s="198">
        <v>423079</v>
      </c>
      <c r="E17" s="199">
        <v>417539</v>
      </c>
      <c r="F17" s="4">
        <f>F5*IncState!F16</f>
        <v>411331.02979796252</v>
      </c>
      <c r="G17" s="4">
        <f>G5*IncState!G16</f>
        <v>413766.41826328071</v>
      </c>
      <c r="H17" s="4">
        <f>H5*IncState!H16</f>
        <v>416516.89379083755</v>
      </c>
      <c r="I17" s="4">
        <f>I5*IncState!I16</f>
        <v>419594.11119081482</v>
      </c>
      <c r="J17" s="4">
        <f>J5*IncState!J16</f>
        <v>423010.39344496396</v>
      </c>
    </row>
    <row r="18" spans="1:15" x14ac:dyDescent="0.25">
      <c r="B18" s="4" t="s">
        <v>70</v>
      </c>
      <c r="C18" s="198">
        <v>1028545</v>
      </c>
      <c r="D18" s="198">
        <v>746288</v>
      </c>
      <c r="E18" s="199">
        <v>690515</v>
      </c>
      <c r="F18" s="4">
        <f>F6*IncState!F17</f>
        <v>680248.42240111728</v>
      </c>
      <c r="G18" s="4">
        <f>G6*IncState!G17</f>
        <v>684276.00369562907</v>
      </c>
      <c r="H18" s="4">
        <f>H6*IncState!H17</f>
        <v>688824.66767411004</v>
      </c>
      <c r="I18" s="4">
        <f>I6*IncState!I17</f>
        <v>693913.68875464448</v>
      </c>
      <c r="J18" s="4">
        <f>J6*IncState!J17</f>
        <v>699563.44635985931</v>
      </c>
    </row>
    <row r="19" spans="1:15" x14ac:dyDescent="0.25">
      <c r="B19" s="4" t="s">
        <v>71</v>
      </c>
      <c r="C19" s="198">
        <v>129872</v>
      </c>
      <c r="D19" s="198">
        <v>80814</v>
      </c>
      <c r="E19" s="199">
        <v>85051</v>
      </c>
      <c r="F19" s="4">
        <f>F7*IncState!F16</f>
        <v>83786.461660698784</v>
      </c>
      <c r="G19" s="4">
        <f>G7*IncState!G16</f>
        <v>84282.540408705026</v>
      </c>
      <c r="H19" s="4">
        <f>H7*IncState!H16</f>
        <v>84842.801112721281</v>
      </c>
      <c r="I19" s="4">
        <f>I7*IncState!I16</f>
        <v>85469.617810288371</v>
      </c>
      <c r="J19" s="4">
        <f>J7*IncState!J16</f>
        <v>86165.500642784595</v>
      </c>
    </row>
    <row r="20" spans="1:15" s="11" customFormat="1" x14ac:dyDescent="0.25">
      <c r="B20" s="11" t="s">
        <v>72</v>
      </c>
      <c r="C20" s="11">
        <f>SUM(C15:C19)</f>
        <v>2136941</v>
      </c>
      <c r="D20" s="11">
        <f>SUM(D15:D19)</f>
        <v>2014685</v>
      </c>
      <c r="E20" s="26">
        <f t="shared" ref="E20" si="0">SUM(E15:E19)</f>
        <v>2008582</v>
      </c>
      <c r="F20" s="11">
        <f>SUM(F15:F19)</f>
        <v>1812780.9598476661</v>
      </c>
      <c r="G20" s="11">
        <f t="shared" ref="G20:J20" si="1">SUM(G15:G19)</f>
        <v>1624977.955232983</v>
      </c>
      <c r="H20" s="11">
        <f t="shared" si="1"/>
        <v>1756091.4124304301</v>
      </c>
      <c r="I20" s="11">
        <f t="shared" si="1"/>
        <v>1891805.2713690305</v>
      </c>
      <c r="J20" s="11">
        <f t="shared" si="1"/>
        <v>2031742.0341196365</v>
      </c>
      <c r="K20" s="325"/>
      <c r="L20" s="325"/>
      <c r="M20" s="325"/>
    </row>
    <row r="21" spans="1:15" x14ac:dyDescent="0.25">
      <c r="A21" s="7"/>
      <c r="E21" s="29"/>
      <c r="I21" s="4"/>
      <c r="J21" s="4"/>
    </row>
    <row r="22" spans="1:15" x14ac:dyDescent="0.25">
      <c r="B22" s="4" t="s">
        <v>73</v>
      </c>
      <c r="C22" s="198">
        <v>291214</v>
      </c>
      <c r="D22" s="198">
        <v>287281</v>
      </c>
      <c r="E22" s="199">
        <v>282908</v>
      </c>
      <c r="F22" s="4">
        <f>Calcs!F9</f>
        <v>306857.94753286883</v>
      </c>
      <c r="G22" s="4">
        <f>Calcs!G9</f>
        <v>326661.89814849314</v>
      </c>
      <c r="H22" s="4">
        <f>Calcs!H9</f>
        <v>343177.99535678083</v>
      </c>
      <c r="I22" s="4">
        <f>Calcs!I9</f>
        <v>357101.41644592927</v>
      </c>
      <c r="J22" s="4">
        <f>Calcs!J9</f>
        <v>368995.86994399334</v>
      </c>
    </row>
    <row r="23" spans="1:15" x14ac:dyDescent="0.25">
      <c r="B23" s="4" t="s">
        <v>161</v>
      </c>
      <c r="C23" s="198">
        <f>81558+51694</f>
        <v>133252</v>
      </c>
      <c r="D23" s="198">
        <f>79908+26694</f>
        <v>106602</v>
      </c>
      <c r="E23" s="199">
        <f>79221+26694</f>
        <v>105915</v>
      </c>
      <c r="F23" s="137">
        <f>E23-IncState!F7</f>
        <v>105915</v>
      </c>
      <c r="G23" s="137">
        <f>F23-IncState!G7</f>
        <v>105915</v>
      </c>
      <c r="H23" s="137">
        <f>G23-IncState!H7</f>
        <v>105915</v>
      </c>
      <c r="I23" s="137">
        <f>H23-IncState!I7</f>
        <v>105915</v>
      </c>
      <c r="J23" s="137">
        <f>I23-IncState!J7</f>
        <v>105915</v>
      </c>
      <c r="K23" s="340"/>
      <c r="L23" s="340"/>
      <c r="M23" s="340"/>
      <c r="N23" s="137"/>
      <c r="O23" s="137"/>
    </row>
    <row r="24" spans="1:15" x14ac:dyDescent="0.25">
      <c r="B24" s="4" t="s">
        <v>162</v>
      </c>
      <c r="C24" s="198">
        <f>324409+94162+71568</f>
        <v>490139</v>
      </c>
      <c r="D24" s="198">
        <f>357295+67576+105574</f>
        <v>530445</v>
      </c>
      <c r="E24" s="199">
        <f>399669+104203+73988</f>
        <v>577860</v>
      </c>
      <c r="F24" s="4">
        <f>F8*IncState!F16</f>
        <v>569268.37703555985</v>
      </c>
      <c r="G24" s="4">
        <f>G8*IncState!G16</f>
        <v>572638.87315345253</v>
      </c>
      <c r="H24" s="4">
        <f>H8*IncState!H16</f>
        <v>576445.43921878771</v>
      </c>
      <c r="I24" s="4">
        <f>I8*IncState!I16</f>
        <v>580704.20509874355</v>
      </c>
      <c r="J24" s="4">
        <f>J8*IncState!J16</f>
        <v>585432.22538758512</v>
      </c>
    </row>
    <row r="25" spans="1:15" s="11" customFormat="1" x14ac:dyDescent="0.25">
      <c r="B25" s="11" t="s">
        <v>74</v>
      </c>
      <c r="C25" s="11">
        <f>SUM(C22:C24)</f>
        <v>914605</v>
      </c>
      <c r="D25" s="11">
        <f>SUM(D22:D24)</f>
        <v>924328</v>
      </c>
      <c r="E25" s="26">
        <f>SUM(E22:E24)</f>
        <v>966683</v>
      </c>
      <c r="F25" s="11">
        <f>SUM(F22:F24)</f>
        <v>982041.32456842868</v>
      </c>
      <c r="G25" s="11">
        <f t="shared" ref="G25:J25" si="2">SUM(G22:G24)</f>
        <v>1005215.7713019457</v>
      </c>
      <c r="H25" s="11">
        <f t="shared" si="2"/>
        <v>1025538.4345755685</v>
      </c>
      <c r="I25" s="11">
        <f t="shared" si="2"/>
        <v>1043720.6215446729</v>
      </c>
      <c r="J25" s="11">
        <f t="shared" si="2"/>
        <v>1060343.0953315785</v>
      </c>
      <c r="K25" s="325"/>
      <c r="L25" s="325"/>
      <c r="M25" s="325"/>
    </row>
    <row r="26" spans="1:15" x14ac:dyDescent="0.25">
      <c r="E26" s="29"/>
      <c r="I26" s="4"/>
      <c r="J26" s="4"/>
    </row>
    <row r="27" spans="1:15" s="11" customFormat="1" x14ac:dyDescent="0.25">
      <c r="A27" s="11" t="s">
        <v>124</v>
      </c>
      <c r="B27" s="18" t="s">
        <v>75</v>
      </c>
      <c r="C27" s="19">
        <f>SUM(C25,C20)</f>
        <v>3051546</v>
      </c>
      <c r="D27" s="19">
        <f>SUM(D25,D20)</f>
        <v>2939013</v>
      </c>
      <c r="E27" s="19">
        <f>SUM(E25,E20)</f>
        <v>2975265</v>
      </c>
      <c r="F27" s="19">
        <f>SUM(F25,F20)</f>
        <v>2794822.2844160949</v>
      </c>
      <c r="G27" s="19">
        <f>SUM(G25,G20)</f>
        <v>2630193.7265349287</v>
      </c>
      <c r="H27" s="19">
        <f>SUM(H25,H20)</f>
        <v>2781629.8470059987</v>
      </c>
      <c r="I27" s="19">
        <f>SUM(I25,I20)</f>
        <v>2935525.8929137033</v>
      </c>
      <c r="J27" s="20">
        <f>SUM(J25,J20)</f>
        <v>3092085.1294512153</v>
      </c>
      <c r="K27" s="325"/>
      <c r="L27" s="325"/>
      <c r="M27" s="325"/>
    </row>
    <row r="28" spans="1:15" x14ac:dyDescent="0.25">
      <c r="A28" s="11"/>
      <c r="E28" s="29"/>
      <c r="I28" s="4"/>
      <c r="J28" s="4"/>
      <c r="N28" s="6"/>
      <c r="O28" s="6"/>
    </row>
    <row r="29" spans="1:15" x14ac:dyDescent="0.25">
      <c r="B29" s="4" t="s">
        <v>76</v>
      </c>
      <c r="C29" s="9">
        <v>0</v>
      </c>
      <c r="D29" s="9">
        <v>0</v>
      </c>
      <c r="E29" s="46">
        <v>0</v>
      </c>
      <c r="F29" s="307">
        <f>-MIN(CashFlow!F23,0)</f>
        <v>0</v>
      </c>
      <c r="G29" s="307">
        <f>-MIN(CashFlow!G23,0)</f>
        <v>0</v>
      </c>
      <c r="H29" s="307">
        <f>-MIN(CashFlow!H23,0)</f>
        <v>0</v>
      </c>
      <c r="I29" s="307">
        <f>-MIN(CashFlow!I23,0)</f>
        <v>0</v>
      </c>
      <c r="J29" s="307">
        <f>-MIN(CashFlow!J23,0)</f>
        <v>0</v>
      </c>
    </row>
    <row r="30" spans="1:15" x14ac:dyDescent="0.25">
      <c r="B30" s="4" t="s">
        <v>152</v>
      </c>
      <c r="C30" s="198">
        <f>322472+328759+18802</f>
        <v>670033</v>
      </c>
      <c r="D30" s="9">
        <f>235927+272058+17556</f>
        <v>525541</v>
      </c>
      <c r="E30" s="46">
        <f>385695+273330+31663</f>
        <v>690688</v>
      </c>
      <c r="F30" s="4">
        <f>IncState!F17*BalSheet!F10</f>
        <v>680418.85023697221</v>
      </c>
      <c r="G30" s="4">
        <f>IncState!G17*BalSheet!G10</f>
        <v>684447.44059220527</v>
      </c>
      <c r="H30" s="4">
        <f>IncState!H17*BalSheet!H10</f>
        <v>688997.24418223451</v>
      </c>
      <c r="I30" s="4">
        <f>IncState!I17*BalSheet!I10</f>
        <v>694087.54025411163</v>
      </c>
      <c r="J30" s="4">
        <f>IncState!J17*BalSheet!J10</f>
        <v>699738.71333627589</v>
      </c>
    </row>
    <row r="31" spans="1:15" x14ac:dyDescent="0.25">
      <c r="B31" s="4" t="s">
        <v>77</v>
      </c>
      <c r="C31" s="198">
        <v>68685</v>
      </c>
      <c r="D31" s="9">
        <v>71086</v>
      </c>
      <c r="E31" s="46">
        <v>75857</v>
      </c>
      <c r="F31" s="4">
        <f>F11*IncState!F16</f>
        <v>74729.158060406437</v>
      </c>
      <c r="G31" s="4">
        <f>G11*IncState!G16</f>
        <v>75171.610772161846</v>
      </c>
      <c r="H31" s="4">
        <f>H11*IncState!H16</f>
        <v>75671.30738036822</v>
      </c>
      <c r="I31" s="4">
        <f>I11*IncState!I16</f>
        <v>76230.365289473892</v>
      </c>
      <c r="J31" s="4">
        <f>J11*IncState!J16</f>
        <v>76851.023294960789</v>
      </c>
    </row>
    <row r="32" spans="1:15" s="11" customFormat="1" x14ac:dyDescent="0.25">
      <c r="B32" s="11" t="s">
        <v>78</v>
      </c>
      <c r="C32" s="11">
        <f t="shared" ref="C32:E32" si="3">SUM(C29:C31)</f>
        <v>738718</v>
      </c>
      <c r="D32" s="11">
        <f t="shared" si="3"/>
        <v>596627</v>
      </c>
      <c r="E32" s="26">
        <f t="shared" si="3"/>
        <v>766545</v>
      </c>
      <c r="F32" s="11">
        <f>SUM(F29:F31)</f>
        <v>755148.00829737866</v>
      </c>
      <c r="G32" s="11">
        <f t="shared" ref="G32:J32" si="4">SUM(G29:G31)</f>
        <v>759619.05136436713</v>
      </c>
      <c r="H32" s="11">
        <f t="shared" si="4"/>
        <v>764668.55156260275</v>
      </c>
      <c r="I32" s="11">
        <f t="shared" si="4"/>
        <v>770317.90554358554</v>
      </c>
      <c r="J32" s="11">
        <f t="shared" si="4"/>
        <v>776589.73663123674</v>
      </c>
      <c r="K32" s="325"/>
      <c r="L32" s="325"/>
      <c r="M32" s="325"/>
    </row>
    <row r="33" spans="1:15" x14ac:dyDescent="0.25">
      <c r="B33" s="11"/>
      <c r="E33" s="29"/>
      <c r="I33" s="4"/>
      <c r="J33" s="4"/>
    </row>
    <row r="34" spans="1:15" x14ac:dyDescent="0.25">
      <c r="B34" s="4" t="s">
        <v>201</v>
      </c>
      <c r="C34" s="198"/>
      <c r="D34" s="9">
        <v>0</v>
      </c>
      <c r="E34" s="46">
        <v>0</v>
      </c>
      <c r="F34" s="4">
        <f>Debt!F20</f>
        <v>13600</v>
      </c>
      <c r="G34" s="4">
        <f>Debt!G20</f>
        <v>13600</v>
      </c>
      <c r="H34" s="4">
        <f>Debt!H20</f>
        <v>13600</v>
      </c>
      <c r="I34" s="4">
        <f>Debt!I20</f>
        <v>13600</v>
      </c>
      <c r="J34" s="4">
        <f>Debt!J20</f>
        <v>13600</v>
      </c>
    </row>
    <row r="35" spans="1:15" x14ac:dyDescent="0.25">
      <c r="B35" s="4" t="s">
        <v>79</v>
      </c>
      <c r="C35" s="198">
        <f>33251+143+33020+310625</f>
        <v>377039</v>
      </c>
      <c r="D35" s="9">
        <f>25688+66+41250+336772</f>
        <v>403776</v>
      </c>
      <c r="E35" s="46">
        <f>13176+310+41867+373328</f>
        <v>428681</v>
      </c>
      <c r="F35" s="4">
        <f>F12*IncState!F16</f>
        <v>422307.3705326218</v>
      </c>
      <c r="G35" s="4">
        <f>G12*IncState!G16</f>
        <v>424807.74717456679</v>
      </c>
      <c r="H35" s="4">
        <f>H12*IncState!H16</f>
        <v>427631.61895571445</v>
      </c>
      <c r="I35" s="4">
        <f>I12*IncState!I16</f>
        <v>430790.95169406856</v>
      </c>
      <c r="J35" s="4">
        <f>J12*IncState!J16</f>
        <v>434298.39720931608</v>
      </c>
    </row>
    <row r="36" spans="1:15" x14ac:dyDescent="0.25">
      <c r="B36" s="11" t="s">
        <v>80</v>
      </c>
      <c r="C36" s="11">
        <f t="shared" ref="C36:E36" si="5">SUM(C34:C35)</f>
        <v>377039</v>
      </c>
      <c r="D36" s="11">
        <f t="shared" si="5"/>
        <v>403776</v>
      </c>
      <c r="E36" s="26">
        <f t="shared" si="5"/>
        <v>428681</v>
      </c>
      <c r="F36" s="11">
        <f>SUM(F34:F35)</f>
        <v>435907.3705326218</v>
      </c>
      <c r="G36" s="11">
        <f t="shared" ref="G36:J36" si="6">SUM(G34:G35)</f>
        <v>438407.74717456679</v>
      </c>
      <c r="H36" s="11">
        <f t="shared" si="6"/>
        <v>441231.61895571445</v>
      </c>
      <c r="I36" s="11">
        <f t="shared" si="6"/>
        <v>444390.95169406856</v>
      </c>
      <c r="J36" s="11">
        <f t="shared" si="6"/>
        <v>447898.39720931608</v>
      </c>
      <c r="K36" s="325"/>
      <c r="L36" s="325"/>
      <c r="M36" s="325"/>
      <c r="N36" s="11"/>
      <c r="O36" s="11"/>
    </row>
    <row r="37" spans="1:15" x14ac:dyDescent="0.25">
      <c r="E37" s="29"/>
      <c r="I37" s="4"/>
      <c r="J37" s="4"/>
    </row>
    <row r="38" spans="1:15" x14ac:dyDescent="0.25">
      <c r="B38" s="4" t="s">
        <v>16</v>
      </c>
      <c r="C38" s="200">
        <v>1935789</v>
      </c>
      <c r="D38" s="200">
        <v>1938610</v>
      </c>
      <c r="E38" s="233">
        <v>1780039</v>
      </c>
      <c r="F38" s="4">
        <f>Calcs!F17</f>
        <v>1603766.9055860946</v>
      </c>
      <c r="G38" s="4">
        <f>Calcs!G17</f>
        <v>1432166.9279959949</v>
      </c>
      <c r="H38" s="4">
        <f>Calcs!H17</f>
        <v>1575729.6764876815</v>
      </c>
      <c r="I38" s="4">
        <f>Calcs!I17</f>
        <v>1720817.0356760493</v>
      </c>
      <c r="J38" s="4">
        <f>Calcs!J17</f>
        <v>1867596.995610662</v>
      </c>
    </row>
    <row r="39" spans="1:15" s="11" customFormat="1" x14ac:dyDescent="0.25">
      <c r="A39" s="11" t="s">
        <v>124</v>
      </c>
      <c r="B39" s="18" t="s">
        <v>81</v>
      </c>
      <c r="C39" s="19">
        <f>SUM(C38,C36,C32)</f>
        <v>3051546</v>
      </c>
      <c r="D39" s="19">
        <f>SUM(D38,D36,D32)</f>
        <v>2939013</v>
      </c>
      <c r="E39" s="19">
        <f t="shared" ref="E39:F39" si="7">SUM(E38,E36,E32)</f>
        <v>2975265</v>
      </c>
      <c r="F39" s="19">
        <f t="shared" si="7"/>
        <v>2794822.2844160954</v>
      </c>
      <c r="G39" s="19">
        <f t="shared" ref="G39" si="8">SUM(G38,G36,G32)</f>
        <v>2630193.7265349291</v>
      </c>
      <c r="H39" s="19">
        <f t="shared" ref="H39" si="9">SUM(H38,H36,H32)</f>
        <v>2781629.8470059987</v>
      </c>
      <c r="I39" s="19">
        <f t="shared" ref="I39" si="10">SUM(I38,I36,I32)</f>
        <v>2935525.8929137038</v>
      </c>
      <c r="J39" s="20">
        <f t="shared" ref="J39" si="11">SUM(J38,J36,J32)</f>
        <v>3092085.1294512153</v>
      </c>
      <c r="K39" s="325"/>
      <c r="L39" s="325"/>
      <c r="M39" s="325"/>
    </row>
    <row r="40" spans="1:15" x14ac:dyDescent="0.25">
      <c r="E40" s="29"/>
      <c r="H40" s="6"/>
      <c r="K40" s="339"/>
      <c r="L40" s="339"/>
      <c r="M40" s="339"/>
      <c r="N40" s="6"/>
      <c r="O40" s="6"/>
    </row>
    <row r="41" spans="1:15" x14ac:dyDescent="0.25">
      <c r="A41" s="4" t="s">
        <v>124</v>
      </c>
      <c r="B41" s="11" t="s">
        <v>82</v>
      </c>
      <c r="C41" s="47">
        <f>C39-C27</f>
        <v>0</v>
      </c>
      <c r="D41" s="47">
        <f t="shared" ref="D41:J41" si="12">D39-D27</f>
        <v>0</v>
      </c>
      <c r="E41" s="160">
        <f t="shared" si="12"/>
        <v>0</v>
      </c>
      <c r="F41" s="47">
        <f t="shared" si="12"/>
        <v>0</v>
      </c>
      <c r="G41" s="47">
        <f t="shared" si="12"/>
        <v>0</v>
      </c>
      <c r="H41" s="47">
        <f t="shared" si="12"/>
        <v>0</v>
      </c>
      <c r="I41" s="47">
        <f t="shared" si="12"/>
        <v>0</v>
      </c>
      <c r="J41" s="47">
        <f t="shared" si="12"/>
        <v>0</v>
      </c>
      <c r="K41" s="341"/>
      <c r="L41" s="341"/>
      <c r="M41" s="341"/>
      <c r="N41" s="47"/>
      <c r="O41" s="47"/>
    </row>
    <row r="42" spans="1:15" x14ac:dyDescent="0.25">
      <c r="I42" s="4"/>
      <c r="J42" s="4"/>
    </row>
    <row r="43" spans="1:15" x14ac:dyDescent="0.25">
      <c r="H43" s="6"/>
    </row>
    <row r="44" spans="1:15" x14ac:dyDescent="0.25">
      <c r="H44" s="6"/>
    </row>
    <row r="45" spans="1:15" x14ac:dyDescent="0.25">
      <c r="H45" s="6"/>
    </row>
    <row r="46" spans="1:15" x14ac:dyDescent="0.25">
      <c r="H46" s="6"/>
    </row>
    <row r="47" spans="1:15" x14ac:dyDescent="0.25">
      <c r="H47" s="6"/>
    </row>
    <row r="48" spans="1:15" x14ac:dyDescent="0.25">
      <c r="H48" s="6"/>
    </row>
    <row r="49" spans="8:8" x14ac:dyDescent="0.25">
      <c r="H49" s="6"/>
    </row>
    <row r="50" spans="8:8" x14ac:dyDescent="0.25">
      <c r="H50" s="6"/>
    </row>
    <row r="51" spans="8:8" x14ac:dyDescent="0.25">
      <c r="H51" s="6"/>
    </row>
    <row r="52" spans="8:8" x14ac:dyDescent="0.25">
      <c r="H52" s="6"/>
    </row>
    <row r="53" spans="8:8" x14ac:dyDescent="0.25">
      <c r="H53" s="6"/>
    </row>
    <row r="54" spans="8:8" x14ac:dyDescent="0.25">
      <c r="H54" s="6"/>
    </row>
  </sheetData>
  <conditionalFormatting sqref="F4:O13">
    <cfRule type="expression" dxfId="0" priority="35">
      <formula>$E$12&gt;1</formula>
    </cfRule>
  </conditionalFormatting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autoPageBreaks="0" fitToPage="1"/>
  </sheetPr>
  <dimension ref="A1:O23"/>
  <sheetViews>
    <sheetView showGridLines="0" zoomScaleNormal="100" workbookViewId="0">
      <selection activeCell="F21" sqref="F21"/>
    </sheetView>
  </sheetViews>
  <sheetFormatPr defaultColWidth="8.85546875" defaultRowHeight="15" x14ac:dyDescent="0.25"/>
  <cols>
    <col min="1" max="1" width="1.7109375" style="4" customWidth="1"/>
    <col min="2" max="2" width="40.7109375" style="4" customWidth="1"/>
    <col min="3" max="8" width="11.7109375" style="4" customWidth="1"/>
    <col min="9" max="10" width="12.140625" style="6" bestFit="1" customWidth="1"/>
    <col min="11" max="13" width="11.7109375" style="307" customWidth="1"/>
    <col min="14" max="256" width="8.85546875" style="4"/>
    <col min="257" max="257" width="1.7109375" style="4" customWidth="1"/>
    <col min="258" max="258" width="40.71093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0.71093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0.71093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0.71093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0.71093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0.71093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0.71093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0.71093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0.71093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0.71093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0.71093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0.71093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0.71093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0.71093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0.71093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0.71093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0.71093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0.71093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0.71093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0.71093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0.71093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0.71093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0.71093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0.71093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0.71093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0.71093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0.71093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0.71093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0.71093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0.71093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0.71093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0.71093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0.71093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0.71093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0.71093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0.71093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0.71093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0.71093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0.71093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0.71093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0.71093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0.71093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0.71093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0.71093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0.71093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0.71093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0.71093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0.71093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0.71093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0.71093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0.71093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0.71093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0.71093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0.71093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0.71093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0.71093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0.71093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0.71093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0.71093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0.71093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0.71093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0.71093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0.71093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5" s="2" customFormat="1" ht="19.5" x14ac:dyDescent="0.3">
      <c r="A1" s="299" t="str">
        <f>CoName</f>
        <v>Columbia Sportswear Co.</v>
      </c>
      <c r="B1" s="3"/>
      <c r="C1" s="42" t="s">
        <v>0</v>
      </c>
      <c r="D1" s="42" t="s">
        <v>0</v>
      </c>
      <c r="E1" s="42" t="s">
        <v>0</v>
      </c>
      <c r="F1" s="42" t="s">
        <v>1</v>
      </c>
      <c r="G1" s="42" t="s">
        <v>1</v>
      </c>
      <c r="H1" s="42" t="s">
        <v>1</v>
      </c>
      <c r="I1" s="42" t="s">
        <v>1</v>
      </c>
      <c r="J1" s="42" t="s">
        <v>1</v>
      </c>
      <c r="K1" s="42"/>
      <c r="L1" s="42"/>
      <c r="M1" s="42"/>
      <c r="N1" s="42"/>
      <c r="O1" s="42"/>
    </row>
    <row r="2" spans="1:15" s="2" customFormat="1" x14ac:dyDescent="0.25">
      <c r="A2" s="188" t="s">
        <v>83</v>
      </c>
      <c r="B2" s="189"/>
      <c r="C2" s="194">
        <v>2022</v>
      </c>
      <c r="D2" s="194">
        <f>C2+1</f>
        <v>2023</v>
      </c>
      <c r="E2" s="194">
        <f t="shared" ref="E2:M2" si="0">D2+1</f>
        <v>2024</v>
      </c>
      <c r="F2" s="194">
        <f t="shared" si="0"/>
        <v>2025</v>
      </c>
      <c r="G2" s="194">
        <f t="shared" si="0"/>
        <v>2026</v>
      </c>
      <c r="H2" s="194">
        <f t="shared" si="0"/>
        <v>2027</v>
      </c>
      <c r="I2" s="194">
        <f t="shared" si="0"/>
        <v>2028</v>
      </c>
      <c r="J2" s="194">
        <f t="shared" si="0"/>
        <v>2029</v>
      </c>
      <c r="K2" s="220"/>
      <c r="L2" s="220"/>
      <c r="M2" s="220"/>
      <c r="N2" s="220"/>
      <c r="O2" s="220"/>
    </row>
    <row r="3" spans="1:15" x14ac:dyDescent="0.25">
      <c r="B3" s="4" t="s">
        <v>157</v>
      </c>
      <c r="F3" s="4">
        <f>IncState!F34</f>
        <v>203794.4046175174</v>
      </c>
      <c r="G3" s="4">
        <f>IncState!G34</f>
        <v>205001.02047274646</v>
      </c>
      <c r="H3" s="4">
        <f>IncState!H34</f>
        <v>206363.74655453255</v>
      </c>
      <c r="I3" s="4">
        <f>IncState!I34</f>
        <v>207888.35725121398</v>
      </c>
      <c r="J3" s="4">
        <f>IncState!J34</f>
        <v>209580.95799745884</v>
      </c>
    </row>
    <row r="4" spans="1:15" x14ac:dyDescent="0.25">
      <c r="A4" s="4" t="s">
        <v>221</v>
      </c>
      <c r="B4" s="4" t="s">
        <v>14</v>
      </c>
      <c r="F4" s="4">
        <f>IncState!F21</f>
        <v>54458.221741082772</v>
      </c>
      <c r="G4" s="4">
        <f>IncState!G21</f>
        <v>59068.453878145949</v>
      </c>
      <c r="H4" s="4">
        <f>IncState!H21</f>
        <v>62880.604591364106</v>
      </c>
      <c r="I4" s="4">
        <f>IncState!I21</f>
        <v>66059.861749402087</v>
      </c>
      <c r="J4" s="4">
        <f>IncState!J21</f>
        <v>68740.043126624761</v>
      </c>
    </row>
    <row r="5" spans="1:15" x14ac:dyDescent="0.25">
      <c r="A5" s="4" t="s">
        <v>221</v>
      </c>
      <c r="B5" s="4" t="s">
        <v>53</v>
      </c>
      <c r="F5" s="4">
        <f>IncState!F22</f>
        <v>0</v>
      </c>
      <c r="G5" s="4">
        <f>IncState!G22</f>
        <v>0</v>
      </c>
      <c r="H5" s="4">
        <f>IncState!H22</f>
        <v>0</v>
      </c>
      <c r="I5" s="4">
        <f>IncState!I22</f>
        <v>0</v>
      </c>
      <c r="J5" s="4">
        <f>IncState!J22</f>
        <v>0</v>
      </c>
    </row>
    <row r="6" spans="1:15" x14ac:dyDescent="0.25">
      <c r="B6" s="4" t="s">
        <v>222</v>
      </c>
      <c r="F6" s="4">
        <f>Calcs!F26</f>
        <v>7812.5050963999238</v>
      </c>
      <c r="G6" s="4">
        <f>Calcs!G26</f>
        <v>-3064.8479579957202</v>
      </c>
      <c r="H6" s="4">
        <f>Calcs!H26</f>
        <v>-3461.3735854445258</v>
      </c>
      <c r="I6" s="4">
        <f>Calcs!I26</f>
        <v>-3872.566368337837</v>
      </c>
      <c r="J6" s="4">
        <f>Calcs!J26</f>
        <v>-4299.2671763340477</v>
      </c>
    </row>
    <row r="7" spans="1:15" x14ac:dyDescent="0.25">
      <c r="B7" s="4" t="s">
        <v>223</v>
      </c>
      <c r="F7" s="4">
        <f>BalSheet!E24-BalSheet!F24</f>
        <v>8591.6229644401465</v>
      </c>
      <c r="G7" s="4">
        <f>BalSheet!F24-BalSheet!G24</f>
        <v>-3370.4961178926751</v>
      </c>
      <c r="H7" s="4">
        <f>BalSheet!G24-BalSheet!H24</f>
        <v>-3806.5660653351806</v>
      </c>
      <c r="I7" s="4">
        <f>BalSheet!H24-BalSheet!I24</f>
        <v>-4258.7658799558412</v>
      </c>
      <c r="J7" s="4">
        <f>BalSheet!I24-BalSheet!J24</f>
        <v>-4728.0202888415661</v>
      </c>
    </row>
    <row r="8" spans="1:15" x14ac:dyDescent="0.25">
      <c r="B8" s="4" t="s">
        <v>224</v>
      </c>
      <c r="F8" s="4">
        <f>BalSheet!F35-BalSheet!E35</f>
        <v>-6373.6294673781958</v>
      </c>
      <c r="G8" s="4">
        <f>BalSheet!G35-BalSheet!F35</f>
        <v>2500.3766419449821</v>
      </c>
      <c r="H8" s="4">
        <f>BalSheet!H35-BalSheet!G35</f>
        <v>2823.8717811476672</v>
      </c>
      <c r="I8" s="4">
        <f>BalSheet!I35-BalSheet!H35</f>
        <v>3159.3327383541036</v>
      </c>
      <c r="J8" s="4">
        <f>BalSheet!J35-BalSheet!I35</f>
        <v>3507.4455152475275</v>
      </c>
    </row>
    <row r="9" spans="1:15" s="11" customFormat="1" x14ac:dyDescent="0.25">
      <c r="B9" s="11" t="s">
        <v>225</v>
      </c>
      <c r="F9" s="11">
        <f>SUM(F3:F8)</f>
        <v>268283.12495206203</v>
      </c>
      <c r="G9" s="11">
        <f t="shared" ref="G9:J9" si="1">SUM(G3:G8)</f>
        <v>260134.506916949</v>
      </c>
      <c r="H9" s="11">
        <f t="shared" si="1"/>
        <v>264800.28327626461</v>
      </c>
      <c r="I9" s="11">
        <f t="shared" si="1"/>
        <v>268976.21949067648</v>
      </c>
      <c r="J9" s="11">
        <f t="shared" si="1"/>
        <v>272801.1591741555</v>
      </c>
      <c r="K9" s="319"/>
      <c r="L9" s="319"/>
      <c r="M9" s="319"/>
    </row>
    <row r="10" spans="1:15" x14ac:dyDescent="0.25">
      <c r="I10" s="4"/>
      <c r="J10" s="4"/>
    </row>
    <row r="11" spans="1:15" x14ac:dyDescent="0.25">
      <c r="B11" s="4" t="s">
        <v>13</v>
      </c>
      <c r="F11" s="4">
        <f>-Calcs!F7</f>
        <v>-78408.1692739516</v>
      </c>
      <c r="G11" s="4">
        <f>-Calcs!G7</f>
        <v>-78872.404493770271</v>
      </c>
      <c r="H11" s="4">
        <f>-Calcs!H7</f>
        <v>-79396.701799651782</v>
      </c>
      <c r="I11" s="4">
        <f>-Calcs!I7</f>
        <v>-79983.282838550498</v>
      </c>
      <c r="J11" s="4">
        <f>-Calcs!J7</f>
        <v>-80634.496624688865</v>
      </c>
    </row>
    <row r="12" spans="1:15" s="11" customFormat="1" x14ac:dyDescent="0.25">
      <c r="B12" s="11" t="s">
        <v>226</v>
      </c>
      <c r="F12" s="11">
        <f>SUM(F11)</f>
        <v>-78408.1692739516</v>
      </c>
      <c r="G12" s="11">
        <f t="shared" ref="G12:J12" si="2">SUM(G11)</f>
        <v>-78872.404493770271</v>
      </c>
      <c r="H12" s="11">
        <f t="shared" si="2"/>
        <v>-79396.701799651782</v>
      </c>
      <c r="I12" s="11">
        <f t="shared" si="2"/>
        <v>-79983.282838550498</v>
      </c>
      <c r="J12" s="11">
        <f t="shared" si="2"/>
        <v>-80634.496624688865</v>
      </c>
      <c r="K12" s="319"/>
      <c r="L12" s="319"/>
      <c r="M12" s="319"/>
    </row>
    <row r="13" spans="1:15" x14ac:dyDescent="0.25">
      <c r="I13" s="4"/>
      <c r="J13" s="4"/>
    </row>
    <row r="14" spans="1:15" x14ac:dyDescent="0.25">
      <c r="B14" s="4" t="s">
        <v>59</v>
      </c>
      <c r="F14" s="4">
        <f>Calcs!F15*-1</f>
        <v>-66266.499031423038</v>
      </c>
      <c r="G14" s="4">
        <f>Calcs!G15*-1</f>
        <v>-62800.998062846076</v>
      </c>
      <c r="H14" s="4">
        <f>Calcs!H15*-1</f>
        <v>-62800.998062846076</v>
      </c>
      <c r="I14" s="4">
        <f>Calcs!I15*-1</f>
        <v>-62800.998062846076</v>
      </c>
      <c r="J14" s="4">
        <f>Calcs!J15*-1</f>
        <v>-62800.998062846076</v>
      </c>
    </row>
    <row r="15" spans="1:15" x14ac:dyDescent="0.25">
      <c r="B15" s="4" t="s">
        <v>21</v>
      </c>
      <c r="F15" s="4">
        <f>Calcs!F11</f>
        <v>-313800</v>
      </c>
      <c r="G15" s="4">
        <f>Calcs!G11</f>
        <v>-313800</v>
      </c>
      <c r="H15" s="4">
        <f>Calcs!H11</f>
        <v>0</v>
      </c>
      <c r="I15" s="4">
        <f>Calcs!I11</f>
        <v>0</v>
      </c>
      <c r="J15" s="4">
        <f>Calcs!J11</f>
        <v>0</v>
      </c>
    </row>
    <row r="16" spans="1:15" x14ac:dyDescent="0.25">
      <c r="B16" s="4" t="s">
        <v>227</v>
      </c>
      <c r="F16" s="4">
        <f>Debt!F8</f>
        <v>13600</v>
      </c>
      <c r="G16" s="4">
        <f>Debt!G8</f>
        <v>0</v>
      </c>
      <c r="H16" s="4">
        <f>Debt!H8</f>
        <v>0</v>
      </c>
      <c r="I16" s="4">
        <f>Debt!I8</f>
        <v>0</v>
      </c>
      <c r="J16" s="4">
        <f>Debt!J8</f>
        <v>0</v>
      </c>
    </row>
    <row r="17" spans="2:13" s="11" customFormat="1" x14ac:dyDescent="0.25">
      <c r="B17" s="11" t="s">
        <v>228</v>
      </c>
      <c r="F17" s="11">
        <f>SUM(F14:F16)</f>
        <v>-366466.49903142301</v>
      </c>
      <c r="G17" s="11">
        <f t="shared" ref="G17:J17" si="3">SUM(G14:G16)</f>
        <v>-376600.99806284608</v>
      </c>
      <c r="H17" s="11">
        <f t="shared" si="3"/>
        <v>-62800.998062846076</v>
      </c>
      <c r="I17" s="11">
        <f t="shared" si="3"/>
        <v>-62800.998062846076</v>
      </c>
      <c r="J17" s="11">
        <f t="shared" si="3"/>
        <v>-62800.998062846076</v>
      </c>
      <c r="K17" s="319"/>
      <c r="L17" s="319"/>
      <c r="M17" s="319"/>
    </row>
    <row r="18" spans="2:13" x14ac:dyDescent="0.25">
      <c r="I18" s="4"/>
      <c r="J18" s="4"/>
    </row>
    <row r="19" spans="2:13" x14ac:dyDescent="0.25">
      <c r="B19" s="4" t="s">
        <v>229</v>
      </c>
      <c r="F19" s="4">
        <f>SUM(F17,F12,F9)</f>
        <v>-176591.54335331259</v>
      </c>
      <c r="G19" s="4">
        <f t="shared" ref="G19:J19" si="4">SUM(G17,G12,G9)</f>
        <v>-195338.89563966735</v>
      </c>
      <c r="H19" s="4">
        <f t="shared" si="4"/>
        <v>122602.58341376676</v>
      </c>
      <c r="I19" s="4">
        <f t="shared" si="4"/>
        <v>126191.93858927989</v>
      </c>
      <c r="J19" s="4">
        <f t="shared" si="4"/>
        <v>129365.66448662058</v>
      </c>
    </row>
    <row r="20" spans="2:13" x14ac:dyDescent="0.25">
      <c r="I20" s="4"/>
      <c r="J20" s="4"/>
    </row>
    <row r="21" spans="2:13" x14ac:dyDescent="0.25">
      <c r="B21" s="4" t="s">
        <v>230</v>
      </c>
      <c r="F21" s="4">
        <f>BalSheet!E16</f>
        <v>716579.32876712328</v>
      </c>
      <c r="G21" s="4">
        <f>F23</f>
        <v>539987.78541381075</v>
      </c>
      <c r="H21" s="4">
        <f t="shared" ref="H21:J21" si="5">G23</f>
        <v>344648.8897741434</v>
      </c>
      <c r="I21" s="4">
        <f t="shared" si="5"/>
        <v>467251.47318791016</v>
      </c>
      <c r="J21" s="4">
        <f t="shared" si="5"/>
        <v>593443.41177719005</v>
      </c>
    </row>
    <row r="22" spans="2:13" x14ac:dyDescent="0.25">
      <c r="B22" s="4" t="s">
        <v>231</v>
      </c>
      <c r="F22" s="4">
        <f>F19</f>
        <v>-176591.54335331259</v>
      </c>
      <c r="G22" s="4">
        <f t="shared" ref="G22:J22" si="6">G19</f>
        <v>-195338.89563966735</v>
      </c>
      <c r="H22" s="4">
        <f t="shared" ref="H22:J22" si="7">H19</f>
        <v>122602.58341376676</v>
      </c>
      <c r="I22" s="4">
        <f t="shared" si="7"/>
        <v>126191.93858927989</v>
      </c>
      <c r="J22" s="4">
        <f t="shared" si="7"/>
        <v>129365.66448662058</v>
      </c>
    </row>
    <row r="23" spans="2:13" x14ac:dyDescent="0.25">
      <c r="B23" s="4" t="s">
        <v>232</v>
      </c>
      <c r="F23" s="4">
        <f>SUM(F21:F22)</f>
        <v>539987.78541381075</v>
      </c>
      <c r="G23" s="4">
        <f t="shared" ref="G23:J23" si="8">SUM(G21:G22)</f>
        <v>344648.8897741434</v>
      </c>
      <c r="H23" s="4">
        <f t="shared" ref="H23" si="9">SUM(H21:H22)</f>
        <v>467251.47318791016</v>
      </c>
      <c r="I23" s="4">
        <f t="shared" ref="I23" si="10">SUM(I21:I22)</f>
        <v>593443.41177719005</v>
      </c>
      <c r="J23" s="4">
        <f t="shared" ref="J23" si="11">SUM(J21:J22)</f>
        <v>722809.07626381062</v>
      </c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autoPageBreaks="0" fitToPage="1"/>
  </sheetPr>
  <dimension ref="A1:O30"/>
  <sheetViews>
    <sheetView showGridLines="0" zoomScaleNormal="100" workbookViewId="0">
      <selection activeCell="G11" sqref="G11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8" width="11.7109375" style="4" customWidth="1"/>
    <col min="9" max="10" width="11.7109375" style="6" customWidth="1"/>
    <col min="11" max="13" width="11.7109375" style="310" customWidth="1"/>
    <col min="14" max="256" width="8.85546875" style="4"/>
    <col min="257" max="257" width="1.7109375" style="4" customWidth="1"/>
    <col min="258" max="258" width="40.71093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0.71093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0.71093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0.71093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0.71093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0.71093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0.71093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0.71093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0.71093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0.71093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0.71093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0.71093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0.71093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0.71093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0.71093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0.71093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0.71093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0.71093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0.71093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0.71093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0.71093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0.71093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0.71093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0.71093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0.71093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0.71093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0.71093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0.71093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0.71093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0.71093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0.71093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0.71093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0.71093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0.71093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0.71093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0.71093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0.71093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0.71093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0.71093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0.71093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0.71093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0.71093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0.71093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0.71093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0.71093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0.71093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0.71093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0.71093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0.71093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0.71093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0.71093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0.71093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0.71093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0.71093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0.71093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0.71093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0.71093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0.71093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0.71093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0.71093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0.71093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0.71093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0.71093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5" s="2" customFormat="1" ht="19.5" x14ac:dyDescent="0.3">
      <c r="A1" s="299" t="str">
        <f>CoName</f>
        <v>Columbia Sportswear Co.</v>
      </c>
      <c r="B1" s="3"/>
      <c r="C1" s="42" t="s">
        <v>0</v>
      </c>
      <c r="D1" s="42" t="s">
        <v>0</v>
      </c>
      <c r="E1" s="42" t="s">
        <v>0</v>
      </c>
      <c r="F1" s="42" t="s">
        <v>1</v>
      </c>
      <c r="G1" s="42" t="s">
        <v>1</v>
      </c>
      <c r="H1" s="42" t="s">
        <v>1</v>
      </c>
      <c r="I1" s="42" t="s">
        <v>1</v>
      </c>
      <c r="J1" s="42" t="s">
        <v>1</v>
      </c>
      <c r="K1" s="42"/>
      <c r="L1" s="42"/>
      <c r="M1" s="42"/>
      <c r="N1" s="42"/>
      <c r="O1" s="42"/>
    </row>
    <row r="2" spans="1:15" s="2" customFormat="1" ht="16.350000000000001" customHeight="1" x14ac:dyDescent="0.25">
      <c r="A2" s="188" t="s">
        <v>86</v>
      </c>
      <c r="B2" s="189"/>
      <c r="C2" s="194">
        <v>2022</v>
      </c>
      <c r="D2" s="194">
        <f>C2+1</f>
        <v>2023</v>
      </c>
      <c r="E2" s="194">
        <f t="shared" ref="E2:J2" si="0">D2+1</f>
        <v>2024</v>
      </c>
      <c r="F2" s="194">
        <f t="shared" si="0"/>
        <v>2025</v>
      </c>
      <c r="G2" s="194">
        <f t="shared" si="0"/>
        <v>2026</v>
      </c>
      <c r="H2" s="194">
        <f t="shared" si="0"/>
        <v>2027</v>
      </c>
      <c r="I2" s="194">
        <f t="shared" si="0"/>
        <v>2028</v>
      </c>
      <c r="J2" s="194">
        <f t="shared" si="0"/>
        <v>2029</v>
      </c>
      <c r="K2" s="220"/>
      <c r="L2" s="220"/>
      <c r="M2" s="220"/>
      <c r="N2" s="220"/>
      <c r="O2" s="220"/>
    </row>
    <row r="3" spans="1:15" x14ac:dyDescent="0.25">
      <c r="A3" s="11" t="s">
        <v>124</v>
      </c>
      <c r="B3" s="4" t="s">
        <v>87</v>
      </c>
      <c r="D3" s="272"/>
      <c r="E3" s="25"/>
      <c r="F3" s="273">
        <f>IncState!F16</f>
        <v>3318497.9200000004</v>
      </c>
      <c r="G3" s="273">
        <f>IncState!G16</f>
        <v>3338145.9187432998</v>
      </c>
      <c r="H3" s="273">
        <f>IncState!H16</f>
        <v>3360335.9473479777</v>
      </c>
      <c r="I3" s="273">
        <f>IncState!I16</f>
        <v>3385162.0333989817</v>
      </c>
      <c r="J3" s="273">
        <f>IncState!J16</f>
        <v>3412723.5950932098</v>
      </c>
      <c r="K3" s="230"/>
      <c r="L3" s="230"/>
      <c r="M3" s="230"/>
      <c r="N3" s="230"/>
      <c r="O3" s="230"/>
    </row>
    <row r="4" spans="1:15" x14ac:dyDescent="0.25">
      <c r="B4" s="4" t="s">
        <v>54</v>
      </c>
      <c r="E4" s="29"/>
      <c r="F4" s="4">
        <f>IncState!F19</f>
        <v>272172.82040230418</v>
      </c>
      <c r="G4" s="4">
        <f>IncState!G19</f>
        <v>273784.28780778171</v>
      </c>
      <c r="H4" s="4">
        <f>IncState!H19</f>
        <v>275604.24455198972</v>
      </c>
      <c r="I4" s="4">
        <f>IncState!I19</f>
        <v>277640.40248336224</v>
      </c>
      <c r="J4" s="4">
        <f>IncState!J19</f>
        <v>279900.91557146749</v>
      </c>
    </row>
    <row r="5" spans="1:15" x14ac:dyDescent="0.25">
      <c r="B5" s="32" t="s">
        <v>92</v>
      </c>
      <c r="C5" s="32"/>
      <c r="D5" s="32"/>
      <c r="E5" s="40"/>
      <c r="F5" s="44">
        <f>IncState!F10</f>
        <v>0.25123160969458763</v>
      </c>
      <c r="G5" s="44">
        <f>IncState!G10</f>
        <v>0.25123160969458763</v>
      </c>
      <c r="H5" s="44">
        <f>IncState!H10</f>
        <v>0.25123160969458763</v>
      </c>
      <c r="I5" s="44">
        <f>IncState!I10</f>
        <v>0.25123160969458763</v>
      </c>
      <c r="J5" s="44">
        <f>IncState!J10</f>
        <v>0.25123160969458763</v>
      </c>
      <c r="K5" s="342"/>
      <c r="L5" s="342"/>
      <c r="M5" s="342"/>
      <c r="N5" s="44"/>
      <c r="O5" s="44"/>
    </row>
    <row r="6" spans="1:15" x14ac:dyDescent="0.25">
      <c r="C6" s="5"/>
      <c r="D6" s="5"/>
      <c r="E6" s="25"/>
      <c r="F6" s="5"/>
      <c r="G6" s="5"/>
      <c r="H6" s="5"/>
      <c r="I6" s="5"/>
      <c r="J6" s="5"/>
      <c r="K6" s="181"/>
      <c r="L6" s="181"/>
      <c r="M6" s="181"/>
      <c r="N6" s="181"/>
      <c r="O6" s="181"/>
    </row>
    <row r="7" spans="1:15" x14ac:dyDescent="0.25">
      <c r="A7" s="26" t="s">
        <v>124</v>
      </c>
      <c r="B7" s="23" t="s">
        <v>88</v>
      </c>
      <c r="C7" s="124"/>
      <c r="D7" s="124"/>
      <c r="E7" s="124"/>
      <c r="F7" s="139">
        <f t="shared" ref="F7:M7" si="1">F4*(1-F5)</f>
        <v>203794.40461751737</v>
      </c>
      <c r="G7" s="139">
        <f t="shared" si="1"/>
        <v>205001.02047274643</v>
      </c>
      <c r="H7" s="139">
        <f t="shared" si="1"/>
        <v>206363.74655453255</v>
      </c>
      <c r="I7" s="139">
        <f t="shared" si="1"/>
        <v>207888.35725121395</v>
      </c>
      <c r="J7" s="174">
        <f t="shared" si="1"/>
        <v>209580.95799745881</v>
      </c>
      <c r="K7" s="230"/>
      <c r="L7" s="230"/>
      <c r="M7" s="230"/>
      <c r="N7" s="230"/>
      <c r="O7" s="230"/>
    </row>
    <row r="8" spans="1:15" x14ac:dyDescent="0.25">
      <c r="B8" s="4" t="s">
        <v>14</v>
      </c>
      <c r="C8" s="124"/>
      <c r="D8" s="124"/>
      <c r="E8" s="125"/>
      <c r="F8" s="140">
        <f>CashFlow!F4</f>
        <v>54458.221741082772</v>
      </c>
      <c r="G8" s="140">
        <f>CashFlow!G4</f>
        <v>59068.453878145949</v>
      </c>
      <c r="H8" s="140">
        <f>CashFlow!H4</f>
        <v>62880.604591364106</v>
      </c>
      <c r="I8" s="140">
        <f>CashFlow!I4</f>
        <v>66059.861749402087</v>
      </c>
      <c r="J8" s="140">
        <f>CashFlow!J4</f>
        <v>68740.043126624761</v>
      </c>
      <c r="K8" s="229"/>
      <c r="L8" s="229"/>
      <c r="M8" s="229"/>
      <c r="N8" s="229"/>
      <c r="O8" s="229"/>
    </row>
    <row r="9" spans="1:15" x14ac:dyDescent="0.25">
      <c r="B9" s="4" t="s">
        <v>53</v>
      </c>
      <c r="C9" s="5"/>
      <c r="D9" s="5"/>
      <c r="E9" s="25"/>
      <c r="F9" s="195">
        <f>CashFlow!F5</f>
        <v>0</v>
      </c>
      <c r="G9" s="195">
        <f>CashFlow!G5</f>
        <v>0</v>
      </c>
      <c r="H9" s="195">
        <f>CashFlow!H5</f>
        <v>0</v>
      </c>
      <c r="I9" s="195">
        <f>CashFlow!I5</f>
        <v>0</v>
      </c>
      <c r="J9" s="195">
        <f>CashFlow!J5</f>
        <v>0</v>
      </c>
      <c r="K9" s="229"/>
      <c r="L9" s="229"/>
      <c r="M9" s="229"/>
      <c r="N9" s="229"/>
      <c r="O9" s="229"/>
    </row>
    <row r="10" spans="1:15" x14ac:dyDescent="0.25">
      <c r="B10" s="4" t="s">
        <v>89</v>
      </c>
      <c r="C10" s="5"/>
      <c r="D10" s="5"/>
      <c r="E10" s="25"/>
      <c r="F10" s="141">
        <f>CashFlow!F6</f>
        <v>7812.5050963999238</v>
      </c>
      <c r="G10" s="141">
        <f>CashFlow!G6</f>
        <v>-3064.8479579957202</v>
      </c>
      <c r="H10" s="141">
        <f>CashFlow!H6</f>
        <v>-3461.3735854445258</v>
      </c>
      <c r="I10" s="141">
        <f>CashFlow!I6</f>
        <v>-3872.566368337837</v>
      </c>
      <c r="J10" s="141">
        <f>CashFlow!J6</f>
        <v>-4299.2671763340477</v>
      </c>
      <c r="K10" s="229"/>
      <c r="L10" s="229"/>
      <c r="M10" s="229"/>
      <c r="N10" s="229"/>
      <c r="O10" s="229"/>
    </row>
    <row r="11" spans="1:15" x14ac:dyDescent="0.25">
      <c r="B11" s="4" t="s">
        <v>164</v>
      </c>
      <c r="C11" s="5"/>
      <c r="D11" s="5"/>
      <c r="E11" s="25"/>
      <c r="F11" s="141">
        <f>CashFlow!F7</f>
        <v>8591.6229644401465</v>
      </c>
      <c r="G11" s="141">
        <f>CashFlow!G7</f>
        <v>-3370.4961178926751</v>
      </c>
      <c r="H11" s="141">
        <f>CashFlow!H7</f>
        <v>-3806.5660653351806</v>
      </c>
      <c r="I11" s="141">
        <f>CashFlow!I7</f>
        <v>-4258.7658799558412</v>
      </c>
      <c r="J11" s="141">
        <f>CashFlow!J7</f>
        <v>-4728.0202888415661</v>
      </c>
      <c r="K11" s="229"/>
      <c r="L11" s="229"/>
      <c r="M11" s="229"/>
      <c r="N11" s="229"/>
      <c r="O11" s="229"/>
    </row>
    <row r="12" spans="1:15" x14ac:dyDescent="0.25">
      <c r="B12" s="4" t="s">
        <v>165</v>
      </c>
      <c r="E12" s="29"/>
      <c r="F12" s="141">
        <f>CashFlow!F8</f>
        <v>-6373.6294673781958</v>
      </c>
      <c r="G12" s="141">
        <f>CashFlow!G8</f>
        <v>2500.3766419449821</v>
      </c>
      <c r="H12" s="141">
        <f>CashFlow!H8</f>
        <v>2823.8717811476672</v>
      </c>
      <c r="I12" s="141">
        <f>CashFlow!I8</f>
        <v>3159.3327383541036</v>
      </c>
      <c r="J12" s="141">
        <f>CashFlow!J8</f>
        <v>3507.4455152475275</v>
      </c>
      <c r="K12" s="229"/>
      <c r="L12" s="229"/>
      <c r="M12" s="229"/>
      <c r="N12" s="229"/>
      <c r="O12" s="229"/>
    </row>
    <row r="13" spans="1:15" x14ac:dyDescent="0.25">
      <c r="B13" s="4" t="s">
        <v>90</v>
      </c>
      <c r="E13" s="29"/>
      <c r="F13" s="137">
        <f>CashFlow!F11</f>
        <v>-78408.1692739516</v>
      </c>
      <c r="G13" s="137">
        <f>CashFlow!G11</f>
        <v>-78872.404493770271</v>
      </c>
      <c r="H13" s="137">
        <f>CashFlow!H11</f>
        <v>-79396.701799651782</v>
      </c>
      <c r="I13" s="137">
        <f>CashFlow!I11</f>
        <v>-79983.282838550498</v>
      </c>
      <c r="J13" s="137">
        <f>CashFlow!J11</f>
        <v>-80634.496624688865</v>
      </c>
      <c r="K13" s="340"/>
      <c r="L13" s="340"/>
      <c r="M13" s="340"/>
      <c r="N13" s="137"/>
      <c r="O13" s="137"/>
    </row>
    <row r="14" spans="1:15" x14ac:dyDescent="0.25">
      <c r="E14" s="64"/>
      <c r="F14" s="142"/>
      <c r="G14" s="142"/>
      <c r="H14" s="142"/>
      <c r="I14" s="142"/>
      <c r="J14" s="142"/>
      <c r="K14" s="343"/>
      <c r="L14" s="343"/>
      <c r="M14" s="343"/>
      <c r="N14" s="142"/>
      <c r="O14" s="142"/>
    </row>
    <row r="15" spans="1:15" s="11" customFormat="1" x14ac:dyDescent="0.25">
      <c r="A15" s="26" t="s">
        <v>124</v>
      </c>
      <c r="B15" s="35" t="s">
        <v>91</v>
      </c>
      <c r="C15" s="35"/>
      <c r="D15" s="35"/>
      <c r="E15" s="35"/>
      <c r="F15" s="35">
        <f>SUM(F7:F13)</f>
        <v>189874.95567811042</v>
      </c>
      <c r="G15" s="35">
        <f t="shared" ref="G15:M15" si="2">SUM(G7:G13)</f>
        <v>181262.10242317867</v>
      </c>
      <c r="H15" s="35">
        <f t="shared" si="2"/>
        <v>185403.58147661283</v>
      </c>
      <c r="I15" s="35">
        <f t="shared" si="2"/>
        <v>188992.93665212597</v>
      </c>
      <c r="J15" s="20">
        <f t="shared" si="2"/>
        <v>192166.66254946665</v>
      </c>
      <c r="K15" s="325"/>
      <c r="L15" s="325"/>
      <c r="M15" s="325"/>
    </row>
    <row r="16" spans="1:15" x14ac:dyDescent="0.25">
      <c r="B16" s="67"/>
      <c r="C16" s="67"/>
      <c r="D16" s="67"/>
      <c r="E16" s="67"/>
      <c r="F16" s="67"/>
      <c r="G16" s="67"/>
      <c r="H16" s="67"/>
      <c r="I16" s="85"/>
      <c r="J16" s="85"/>
    </row>
    <row r="17" spans="3:8" x14ac:dyDescent="0.25">
      <c r="C17" s="5"/>
      <c r="D17" s="5"/>
      <c r="E17" s="5"/>
      <c r="F17" s="5"/>
      <c r="G17" s="5"/>
      <c r="H17" s="5"/>
    </row>
    <row r="20" spans="3:8" x14ac:dyDescent="0.25">
      <c r="C20" s="5"/>
      <c r="D20" s="5"/>
      <c r="E20" s="5"/>
      <c r="F20" s="5"/>
      <c r="G20" s="5"/>
      <c r="H20" s="5"/>
    </row>
    <row r="28" spans="3:8" x14ac:dyDescent="0.25">
      <c r="C28" s="5"/>
      <c r="D28" s="5"/>
      <c r="E28" s="5"/>
      <c r="F28" s="5"/>
      <c r="G28" s="5"/>
      <c r="H28" s="5"/>
    </row>
    <row r="29" spans="3:8" x14ac:dyDescent="0.25">
      <c r="C29" s="5"/>
      <c r="D29" s="5"/>
      <c r="E29" s="5"/>
      <c r="F29" s="5"/>
      <c r="G29" s="5"/>
      <c r="H29" s="5"/>
    </row>
    <row r="30" spans="3:8" x14ac:dyDescent="0.25">
      <c r="C30" s="5"/>
      <c r="D30" s="5"/>
      <c r="E30" s="5"/>
      <c r="F30" s="5"/>
      <c r="G30" s="5"/>
      <c r="H30" s="5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a26cf8-717e-46a4-ac0d-03f11284dc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67CCE9C46594A83EA9A0A36DAF059" ma:contentTypeVersion="5" ma:contentTypeDescription="Create a new document." ma:contentTypeScope="" ma:versionID="5fd8b8fd27f650b6dd5d0d1126d790d5">
  <xsd:schema xmlns:xsd="http://www.w3.org/2001/XMLSchema" xmlns:xs="http://www.w3.org/2001/XMLSchema" xmlns:p="http://schemas.microsoft.com/office/2006/metadata/properties" xmlns:ns3="88a26cf8-717e-46a4-ac0d-03f11284dc6b" targetNamespace="http://schemas.microsoft.com/office/2006/metadata/properties" ma:root="true" ma:fieldsID="dfdbcf1abf95335456703ce8a00489ec" ns3:_="">
    <xsd:import namespace="88a26cf8-717e-46a4-ac0d-03f11284dc6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26cf8-717e-46a4-ac0d-03f11284dc6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2CEB71-5BFB-4E6E-B188-5D9054FB6C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9B163E-8FD9-4F0C-B1E1-F38F6A6548CE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88a26cf8-717e-46a4-ac0d-03f11284dc6b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E718D7-04AA-4DF9-97B6-37DAC0AD128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a26cf8-717e-46a4-ac0d-03f11284dc6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MAIN</vt:lpstr>
      <vt:lpstr>Revenue</vt:lpstr>
      <vt:lpstr>Assumptions</vt:lpstr>
      <vt:lpstr>Calcs</vt:lpstr>
      <vt:lpstr>Debt</vt:lpstr>
      <vt:lpstr>IncState</vt:lpstr>
      <vt:lpstr>BalSheet</vt:lpstr>
      <vt:lpstr>CashFlow</vt:lpstr>
      <vt:lpstr>Free Cash Flow</vt:lpstr>
      <vt:lpstr>WACC</vt:lpstr>
      <vt:lpstr>DCF Model</vt:lpstr>
      <vt:lpstr>COMPS</vt:lpstr>
      <vt:lpstr>Ccy</vt:lpstr>
      <vt:lpstr>circ</vt:lpstr>
      <vt:lpstr>CoName</vt:lpstr>
      <vt:lpstr>ScenarioREV</vt:lpstr>
      <vt:lpstr>Units</vt:lpstr>
    </vt:vector>
  </TitlesOfParts>
  <Company>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Chen</dc:creator>
  <dc:description>AMTX-V1/2765</dc:description>
  <cp:lastModifiedBy>Alan Chen</cp:lastModifiedBy>
  <cp:lastPrinted>2017-12-06T12:46:42Z</cp:lastPrinted>
  <dcterms:created xsi:type="dcterms:W3CDTF">2008-02-13T09:24:48Z</dcterms:created>
  <dcterms:modified xsi:type="dcterms:W3CDTF">2025-10-26T20:27:35Z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0x01010001D67CCE9C46594A83EA9A0A36DAF059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2025-09-20T21:06:41Z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ea478097-4d4f-4597-be52-84b7b54bb9e8</vt:lpwstr>
  </property>
  <property fmtid="{D5CDD505-2E9C-101B-9397-08002B2CF9AE}" pid="9" name="MSIP_Label_a73fd474-4f3c-44ed-88fb-5cc4bd2471bf_ContentBits">
    <vt:lpwstr>0</vt:lpwstr>
  </property>
  <property fmtid="{D5CDD505-2E9C-101B-9397-08002B2CF9AE}" pid="10" name="MSIP_Label_a73fd474-4f3c-44ed-88fb-5cc4bd2471bf_Tag">
    <vt:lpwstr>10, 3, 0, 1</vt:lpwstr>
  </property>
</Properties>
</file>