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evens0-my.sharepoint.com/personal/tchen46_stevens_edu/Documents/"/>
    </mc:Choice>
  </mc:AlternateContent>
  <xr:revisionPtr revIDLastSave="1901" documentId="8_{F487AD22-D723-4E62-A22A-C88BF83C3D77}" xr6:coauthVersionLast="47" xr6:coauthVersionMax="47" xr10:uidLastSave="{6BCD0707-3834-486D-8856-CD67758BF5E8}"/>
  <bookViews>
    <workbookView xWindow="-120" yWindow="-120" windowWidth="38640" windowHeight="21840" tabRatio="808" activeTab="11" xr2:uid="{00000000-000D-0000-FFFF-FFFF00000000}"/>
  </bookViews>
  <sheets>
    <sheet name="MAIN" sheetId="3" r:id="rId1"/>
    <sheet name="Revenue" sheetId="32" r:id="rId2"/>
    <sheet name="Assumptions" sheetId="13" r:id="rId3"/>
    <sheet name="Calcs" sheetId="5" r:id="rId4"/>
    <sheet name="Debt" sheetId="6" r:id="rId5"/>
    <sheet name="IncState" sheetId="7" r:id="rId6"/>
    <sheet name="BalSheet" sheetId="8" r:id="rId7"/>
    <sheet name="CashFlow" sheetId="9" r:id="rId8"/>
    <sheet name="Free Cash Flow" sheetId="10" r:id="rId9"/>
    <sheet name="WACC" sheetId="11" r:id="rId10"/>
    <sheet name="DCF Model" sheetId="12" r:id="rId11"/>
    <sheet name="COMPS" sheetId="23" r:id="rId12"/>
  </sheets>
  <externalReferences>
    <externalReference r:id="rId13"/>
  </externalReferences>
  <definedNames>
    <definedName name="Ccy">MAIN!$C$6</definedName>
    <definedName name="CIQWBGuid" hidden="1">"3fed39ac-8be9-4d46-8f70-028dfd35ab66"</definedName>
    <definedName name="CIQWBInfo" hidden="1">"{ ""CIQVersion"":""9.48.1616.5174"" }"</definedName>
    <definedName name="circ">MAIN!$C$9</definedName>
    <definedName name="CoName">MAIN!$C$4</definedName>
    <definedName name="g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OpCase">[1]DCF!$E$98</definedName>
    <definedName name="ScenarioREV">Assumptions!$D$4</definedName>
    <definedName name="TTS" comment="Updated: April 2023">#REF!</definedName>
    <definedName name="Units">MAIN!$C$7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32" l="1"/>
  <c r="E20" i="3"/>
  <c r="E21" i="3" s="1"/>
  <c r="E16" i="3"/>
  <c r="E12" i="3"/>
  <c r="G11" i="23"/>
  <c r="J11" i="23" s="1"/>
  <c r="H11" i="23"/>
  <c r="I11" i="23"/>
  <c r="G14" i="23"/>
  <c r="H14" i="23"/>
  <c r="I14" i="23"/>
  <c r="F14" i="23"/>
  <c r="J14" i="23" s="1"/>
  <c r="K5" i="23"/>
  <c r="K4" i="23"/>
  <c r="J13" i="23"/>
  <c r="I13" i="23"/>
  <c r="H13" i="23"/>
  <c r="G13" i="23"/>
  <c r="F13" i="23"/>
  <c r="F11" i="23"/>
  <c r="E10" i="23"/>
  <c r="D10" i="23"/>
  <c r="H4" i="23"/>
  <c r="I8" i="23"/>
  <c r="H8" i="23"/>
  <c r="G8" i="23"/>
  <c r="F8" i="23"/>
  <c r="F8" i="13"/>
  <c r="F7" i="13"/>
  <c r="F6" i="13"/>
  <c r="D21" i="3"/>
  <c r="C21" i="3"/>
  <c r="E17" i="3"/>
  <c r="D17" i="3"/>
  <c r="C17" i="3"/>
  <c r="E13" i="3"/>
  <c r="F16" i="3"/>
  <c r="F17" i="3" s="1"/>
  <c r="L7" i="12"/>
  <c r="G17" i="12"/>
  <c r="G13" i="12"/>
  <c r="G14" i="12"/>
  <c r="G12" i="12"/>
  <c r="C17" i="12"/>
  <c r="C13" i="12"/>
  <c r="C12" i="12"/>
  <c r="F20" i="3" l="1"/>
  <c r="F21" i="3" s="1"/>
  <c r="E3" i="12"/>
  <c r="F3" i="12"/>
  <c r="G3" i="12"/>
  <c r="H3" i="12"/>
  <c r="D3" i="12"/>
  <c r="E11" i="11"/>
  <c r="E9" i="11"/>
  <c r="E10" i="11"/>
  <c r="K5" i="11"/>
  <c r="J9" i="10" l="1"/>
  <c r="I9" i="10"/>
  <c r="H9" i="10"/>
  <c r="G9" i="10"/>
  <c r="F9" i="10"/>
  <c r="F8" i="10"/>
  <c r="J5" i="10"/>
  <c r="I5" i="10"/>
  <c r="H5" i="10"/>
  <c r="G5" i="10"/>
  <c r="F5" i="10"/>
  <c r="G5" i="9"/>
  <c r="H5" i="9"/>
  <c r="I5" i="9"/>
  <c r="J5" i="9"/>
  <c r="G14" i="9"/>
  <c r="G17" i="9" s="1"/>
  <c r="H14" i="9"/>
  <c r="H17" i="9" s="1"/>
  <c r="I14" i="9"/>
  <c r="I17" i="9" s="1"/>
  <c r="J14" i="9"/>
  <c r="J17" i="9" s="1"/>
  <c r="G15" i="9"/>
  <c r="H15" i="9"/>
  <c r="I15" i="9"/>
  <c r="J15" i="9"/>
  <c r="G16" i="9"/>
  <c r="H16" i="9"/>
  <c r="I16" i="9"/>
  <c r="J16" i="9"/>
  <c r="G32" i="8"/>
  <c r="H32" i="8"/>
  <c r="I32" i="8"/>
  <c r="J32" i="8"/>
  <c r="G21" i="8"/>
  <c r="H21" i="8"/>
  <c r="I21" i="8" s="1"/>
  <c r="J21" i="8" s="1"/>
  <c r="G39" i="7"/>
  <c r="H39" i="7"/>
  <c r="I39" i="7"/>
  <c r="J39" i="7"/>
  <c r="J37" i="7" s="1"/>
  <c r="G40" i="7"/>
  <c r="H40" i="7"/>
  <c r="I40" i="7"/>
  <c r="J40" i="7"/>
  <c r="G37" i="7"/>
  <c r="H37" i="7"/>
  <c r="I37" i="7"/>
  <c r="G26" i="7"/>
  <c r="H26" i="7"/>
  <c r="I26" i="7"/>
  <c r="J26" i="7"/>
  <c r="G27" i="7"/>
  <c r="H27" i="7"/>
  <c r="I27" i="7"/>
  <c r="J27" i="7"/>
  <c r="G23" i="7"/>
  <c r="H23" i="7"/>
  <c r="I23" i="7"/>
  <c r="J23" i="7"/>
  <c r="G17" i="6"/>
  <c r="G18" i="6"/>
  <c r="H18" i="6"/>
  <c r="I18" i="6"/>
  <c r="J18" i="6"/>
  <c r="G19" i="6"/>
  <c r="H19" i="6"/>
  <c r="I19" i="6"/>
  <c r="J19" i="6"/>
  <c r="G20" i="6"/>
  <c r="H17" i="6" s="1"/>
  <c r="H20" i="6" s="1"/>
  <c r="G21" i="6"/>
  <c r="H21" i="6"/>
  <c r="I21" i="6"/>
  <c r="J21" i="6"/>
  <c r="G32" i="6"/>
  <c r="H32" i="6"/>
  <c r="I32" i="6"/>
  <c r="J32" i="6"/>
  <c r="G15" i="5"/>
  <c r="H15" i="5"/>
  <c r="I15" i="5"/>
  <c r="G16" i="5"/>
  <c r="H16" i="5"/>
  <c r="I16" i="5"/>
  <c r="J16" i="5"/>
  <c r="F7" i="8"/>
  <c r="F6" i="8"/>
  <c r="F5" i="8"/>
  <c r="F21" i="8"/>
  <c r="F15" i="5"/>
  <c r="F21" i="9"/>
  <c r="F17" i="9"/>
  <c r="F16" i="9"/>
  <c r="F15" i="9"/>
  <c r="F14" i="9"/>
  <c r="E24" i="5"/>
  <c r="E23" i="5"/>
  <c r="E22" i="5"/>
  <c r="E21" i="5"/>
  <c r="E20" i="5"/>
  <c r="E19" i="5"/>
  <c r="F5" i="9"/>
  <c r="F32" i="8"/>
  <c r="E31" i="6"/>
  <c r="E25" i="13"/>
  <c r="E9" i="6"/>
  <c r="E8" i="6"/>
  <c r="E6" i="6"/>
  <c r="E32" i="6" s="1"/>
  <c r="E33" i="6" s="1"/>
  <c r="E5" i="6"/>
  <c r="E4" i="6"/>
  <c r="F28" i="6"/>
  <c r="F27" i="6"/>
  <c r="F26" i="6"/>
  <c r="F22" i="6"/>
  <c r="F21" i="6"/>
  <c r="F20" i="6"/>
  <c r="F19" i="6"/>
  <c r="F18" i="6"/>
  <c r="F17" i="6"/>
  <c r="E20" i="6"/>
  <c r="F23" i="7"/>
  <c r="F13" i="5"/>
  <c r="E17" i="5"/>
  <c r="G18" i="13"/>
  <c r="F18" i="13"/>
  <c r="F40" i="7"/>
  <c r="F27" i="7"/>
  <c r="F26" i="7"/>
  <c r="H12" i="13"/>
  <c r="I12" i="13" s="1"/>
  <c r="J12" i="13" s="1"/>
  <c r="G12" i="13"/>
  <c r="L9" i="32"/>
  <c r="L23" i="32"/>
  <c r="L27" i="32"/>
  <c r="N55" i="32"/>
  <c r="N51" i="32"/>
  <c r="N41" i="32"/>
  <c r="N37" i="32"/>
  <c r="N13" i="32"/>
  <c r="L13" i="32"/>
  <c r="M61" i="32"/>
  <c r="K61" i="32"/>
  <c r="E20" i="7"/>
  <c r="D20" i="7"/>
  <c r="C20" i="7"/>
  <c r="C10" i="13"/>
  <c r="D10" i="13"/>
  <c r="E10" i="13"/>
  <c r="O64" i="32"/>
  <c r="P64" i="32" s="1"/>
  <c r="Q64" i="32" s="1"/>
  <c r="R64" i="32" s="1"/>
  <c r="O65" i="32"/>
  <c r="P65" i="32"/>
  <c r="Q65" i="32"/>
  <c r="R65" i="32"/>
  <c r="P63" i="32"/>
  <c r="Q63" i="32"/>
  <c r="R63" i="32"/>
  <c r="O63" i="32"/>
  <c r="N64" i="32"/>
  <c r="N65" i="32"/>
  <c r="N63" i="32"/>
  <c r="K79" i="32"/>
  <c r="K75" i="32"/>
  <c r="K74" i="32"/>
  <c r="K80" i="32"/>
  <c r="K76" i="32"/>
  <c r="I66" i="32"/>
  <c r="J5" i="32"/>
  <c r="K5" i="32" s="1"/>
  <c r="J9" i="32"/>
  <c r="K9" i="32" s="1"/>
  <c r="J13" i="32"/>
  <c r="K13" i="32" s="1"/>
  <c r="J19" i="32"/>
  <c r="K19" i="32" s="1"/>
  <c r="J23" i="32"/>
  <c r="K23" i="32" s="1"/>
  <c r="J27" i="32"/>
  <c r="K27" i="32" s="1"/>
  <c r="J33" i="32"/>
  <c r="K33" i="32" s="1"/>
  <c r="J37" i="32"/>
  <c r="K37" i="32" s="1"/>
  <c r="J41" i="32"/>
  <c r="K41" i="32" s="1"/>
  <c r="J47" i="32"/>
  <c r="K47" i="32" s="1"/>
  <c r="J46" i="32"/>
  <c r="J51" i="32"/>
  <c r="K51" i="32" s="1"/>
  <c r="J55" i="32"/>
  <c r="K55" i="32" s="1"/>
  <c r="J61" i="32"/>
  <c r="J60" i="32"/>
  <c r="J54" i="32"/>
  <c r="J50" i="32"/>
  <c r="J40" i="32"/>
  <c r="J36" i="32"/>
  <c r="J32" i="32"/>
  <c r="J26" i="32"/>
  <c r="J22" i="32"/>
  <c r="J18" i="32"/>
  <c r="J12" i="32"/>
  <c r="J8" i="32"/>
  <c r="J4" i="32"/>
  <c r="I37" i="32"/>
  <c r="I33" i="32"/>
  <c r="I27" i="32"/>
  <c r="I23" i="32"/>
  <c r="I19" i="32"/>
  <c r="H60" i="32"/>
  <c r="G60" i="32"/>
  <c r="F60" i="32"/>
  <c r="H54" i="32"/>
  <c r="G54" i="32"/>
  <c r="F54" i="32"/>
  <c r="H50" i="32"/>
  <c r="G50" i="32"/>
  <c r="F50" i="32"/>
  <c r="H46" i="32"/>
  <c r="G46" i="32"/>
  <c r="F46" i="32"/>
  <c r="H40" i="32"/>
  <c r="G40" i="32"/>
  <c r="F40" i="32"/>
  <c r="H36" i="32"/>
  <c r="G36" i="32"/>
  <c r="F36" i="32"/>
  <c r="H32" i="32"/>
  <c r="G32" i="32"/>
  <c r="F32" i="32"/>
  <c r="H26" i="32"/>
  <c r="G26" i="32"/>
  <c r="F26" i="32"/>
  <c r="H22" i="32"/>
  <c r="G22" i="32"/>
  <c r="F22" i="32"/>
  <c r="H18" i="32"/>
  <c r="G18" i="32"/>
  <c r="F18" i="32"/>
  <c r="H12" i="32"/>
  <c r="G12" i="32"/>
  <c r="F12" i="32"/>
  <c r="H8" i="32"/>
  <c r="G8" i="32"/>
  <c r="F8" i="32"/>
  <c r="G4" i="32"/>
  <c r="H4" i="32"/>
  <c r="F4" i="32"/>
  <c r="D68" i="32"/>
  <c r="D61" i="32"/>
  <c r="D55" i="32"/>
  <c r="D51" i="32"/>
  <c r="D47" i="32"/>
  <c r="D41" i="32"/>
  <c r="D37" i="32"/>
  <c r="D33" i="32"/>
  <c r="D27" i="32"/>
  <c r="D23" i="32"/>
  <c r="D19" i="32"/>
  <c r="D13" i="32"/>
  <c r="D9" i="32"/>
  <c r="D5" i="32"/>
  <c r="I45" i="32"/>
  <c r="I70" i="32" s="1"/>
  <c r="I49" i="32"/>
  <c r="I74" i="32" s="1"/>
  <c r="I76" i="32" s="1"/>
  <c r="I53" i="32"/>
  <c r="I57" i="32" s="1"/>
  <c r="I39" i="32"/>
  <c r="I41" i="32" s="1"/>
  <c r="I35" i="32"/>
  <c r="I31" i="32"/>
  <c r="I25" i="32"/>
  <c r="I21" i="32"/>
  <c r="I17" i="32"/>
  <c r="I11" i="32"/>
  <c r="I13" i="32" s="1"/>
  <c r="I7" i="32"/>
  <c r="I9" i="32" s="1"/>
  <c r="I3" i="32"/>
  <c r="I5" i="32" s="1"/>
  <c r="D70" i="32"/>
  <c r="E70" i="32"/>
  <c r="F70" i="32"/>
  <c r="G70" i="32"/>
  <c r="H70" i="32"/>
  <c r="H71" i="32" s="1"/>
  <c r="J70" i="32"/>
  <c r="J72" i="32" s="1"/>
  <c r="D74" i="32"/>
  <c r="E74" i="32"/>
  <c r="F74" i="32"/>
  <c r="F75" i="32" s="1"/>
  <c r="G74" i="32"/>
  <c r="G75" i="32" s="1"/>
  <c r="H74" i="32"/>
  <c r="H75" i="32" s="1"/>
  <c r="J74" i="32"/>
  <c r="J76" i="32" s="1"/>
  <c r="D78" i="32"/>
  <c r="E78" i="32"/>
  <c r="F78" i="32"/>
  <c r="F79" i="32" s="1"/>
  <c r="G78" i="32"/>
  <c r="H78" i="32"/>
  <c r="H79" i="32" s="1"/>
  <c r="J78" i="32"/>
  <c r="J80" i="32" s="1"/>
  <c r="C78" i="32"/>
  <c r="C74" i="32"/>
  <c r="C70" i="32"/>
  <c r="D72" i="32" s="1"/>
  <c r="J15" i="32"/>
  <c r="J29" i="32"/>
  <c r="J43" i="32"/>
  <c r="J57" i="32"/>
  <c r="J66" i="32"/>
  <c r="E66" i="32"/>
  <c r="D66" i="32"/>
  <c r="C66" i="32"/>
  <c r="F66" i="32"/>
  <c r="G66" i="32"/>
  <c r="H66" i="32"/>
  <c r="H43" i="32"/>
  <c r="G43" i="32"/>
  <c r="F43" i="32"/>
  <c r="E43" i="32"/>
  <c r="D43" i="32"/>
  <c r="C43" i="32"/>
  <c r="H57" i="32"/>
  <c r="G57" i="32"/>
  <c r="F57" i="32"/>
  <c r="E57" i="32"/>
  <c r="D57" i="32"/>
  <c r="C57" i="32"/>
  <c r="I29" i="32"/>
  <c r="H29" i="32"/>
  <c r="G29" i="32"/>
  <c r="F29" i="32"/>
  <c r="E29" i="32"/>
  <c r="D29" i="32"/>
  <c r="C29" i="32"/>
  <c r="H15" i="32"/>
  <c r="G15" i="32"/>
  <c r="F15" i="32"/>
  <c r="E15" i="32"/>
  <c r="D15" i="32"/>
  <c r="C15" i="32"/>
  <c r="O2" i="32"/>
  <c r="P2" i="32" s="1"/>
  <c r="Q2" i="32" s="1"/>
  <c r="R2" i="32" s="1"/>
  <c r="A1" i="32"/>
  <c r="F25" i="13"/>
  <c r="F6" i="6" s="1"/>
  <c r="F32" i="6" s="1"/>
  <c r="E8" i="5"/>
  <c r="D8" i="5"/>
  <c r="F6" i="5"/>
  <c r="E9" i="5"/>
  <c r="D9" i="5"/>
  <c r="E6" i="5" s="1"/>
  <c r="C9" i="5"/>
  <c r="D6" i="5" s="1"/>
  <c r="D38" i="13"/>
  <c r="C38" i="13"/>
  <c r="E38" i="13"/>
  <c r="F38" i="13" s="1"/>
  <c r="G38" i="13" s="1"/>
  <c r="H38" i="13" s="1"/>
  <c r="I38" i="13" s="1"/>
  <c r="J38" i="13" s="1"/>
  <c r="D53" i="13"/>
  <c r="C53" i="13"/>
  <c r="E52" i="13"/>
  <c r="D52" i="13"/>
  <c r="C52" i="13"/>
  <c r="E51" i="13"/>
  <c r="F51" i="13" s="1"/>
  <c r="F9" i="8" s="1"/>
  <c r="D51" i="13"/>
  <c r="C51" i="13"/>
  <c r="D47" i="13"/>
  <c r="E46" i="13"/>
  <c r="D10" i="8"/>
  <c r="E10" i="8"/>
  <c r="D11" i="8"/>
  <c r="E11" i="8"/>
  <c r="E53" i="13" s="1"/>
  <c r="C10" i="8"/>
  <c r="C13" i="8"/>
  <c r="C9" i="8"/>
  <c r="E7" i="8"/>
  <c r="E47" i="13" s="1"/>
  <c r="D7" i="8"/>
  <c r="E6" i="8"/>
  <c r="D6" i="8"/>
  <c r="D46" i="13" s="1"/>
  <c r="C7" i="8"/>
  <c r="C47" i="13" s="1"/>
  <c r="C6" i="8"/>
  <c r="C46" i="13" s="1"/>
  <c r="E5" i="8"/>
  <c r="E45" i="13" s="1"/>
  <c r="F45" i="13" s="1"/>
  <c r="D5" i="8"/>
  <c r="D45" i="13" s="1"/>
  <c r="C5" i="8"/>
  <c r="C45" i="13" s="1"/>
  <c r="E4" i="8"/>
  <c r="E44" i="13" s="1"/>
  <c r="D4" i="8"/>
  <c r="D44" i="13" s="1"/>
  <c r="C4" i="8"/>
  <c r="C44" i="13" s="1"/>
  <c r="E19" i="13"/>
  <c r="E40" i="13" s="1"/>
  <c r="D16" i="13"/>
  <c r="E15" i="13"/>
  <c r="D15" i="13"/>
  <c r="C15" i="13"/>
  <c r="E14" i="13"/>
  <c r="D14" i="13"/>
  <c r="C14" i="13"/>
  <c r="E13" i="13"/>
  <c r="F13" i="13" s="1"/>
  <c r="F7" i="7" s="1"/>
  <c r="D13" i="13"/>
  <c r="C13" i="13"/>
  <c r="D11" i="13"/>
  <c r="C11" i="13"/>
  <c r="E13" i="7"/>
  <c r="D13" i="7"/>
  <c r="D19" i="13" s="1"/>
  <c r="D40" i="13" s="1"/>
  <c r="C13" i="7"/>
  <c r="C19" i="13" s="1"/>
  <c r="C40" i="13" s="1"/>
  <c r="E12" i="7"/>
  <c r="E18" i="13" s="1"/>
  <c r="E39" i="13" s="1"/>
  <c r="D12" i="7"/>
  <c r="D18" i="13" s="1"/>
  <c r="D39" i="13" s="1"/>
  <c r="C12" i="7"/>
  <c r="C18" i="13" s="1"/>
  <c r="C39" i="13" s="1"/>
  <c r="D36" i="7"/>
  <c r="D11" i="7" s="1"/>
  <c r="D17" i="13" s="1"/>
  <c r="D10" i="7"/>
  <c r="E6" i="7"/>
  <c r="E12" i="13" s="1"/>
  <c r="F12" i="13" s="1"/>
  <c r="D6" i="7"/>
  <c r="D12" i="13" s="1"/>
  <c r="C6" i="7"/>
  <c r="C12" i="13" s="1"/>
  <c r="E5" i="7"/>
  <c r="E11" i="13" s="1"/>
  <c r="F11" i="13" s="1"/>
  <c r="D5" i="7"/>
  <c r="C5" i="7"/>
  <c r="C33" i="8"/>
  <c r="C11" i="8" s="1"/>
  <c r="C29" i="8"/>
  <c r="C28" i="8"/>
  <c r="C21" i="8"/>
  <c r="C22" i="8"/>
  <c r="C14" i="8"/>
  <c r="C18" i="8" s="1"/>
  <c r="D33" i="8"/>
  <c r="D34" i="8" s="1"/>
  <c r="D29" i="8"/>
  <c r="D28" i="8"/>
  <c r="D9" i="8" s="1"/>
  <c r="E33" i="8"/>
  <c r="E34" i="8" s="1"/>
  <c r="E29" i="8"/>
  <c r="E30" i="8" s="1"/>
  <c r="E28" i="8"/>
  <c r="E9" i="8" s="1"/>
  <c r="D21" i="8"/>
  <c r="D23" i="8" s="1"/>
  <c r="D22" i="8"/>
  <c r="D14" i="8"/>
  <c r="E22" i="8"/>
  <c r="E21" i="8"/>
  <c r="E23" i="8" s="1"/>
  <c r="E14" i="8"/>
  <c r="E18" i="8" s="1"/>
  <c r="D42" i="7"/>
  <c r="D41" i="7"/>
  <c r="E2" i="6"/>
  <c r="F2" i="6"/>
  <c r="G2" i="6"/>
  <c r="G11" i="6" s="1"/>
  <c r="G16" i="6" s="1"/>
  <c r="G24" i="6" s="1"/>
  <c r="H2" i="6"/>
  <c r="I2" i="6"/>
  <c r="J2" i="6"/>
  <c r="D2" i="6"/>
  <c r="C21" i="13"/>
  <c r="C30" i="13" s="1"/>
  <c r="C36" i="13" s="1"/>
  <c r="C42" i="13" s="1"/>
  <c r="C49" i="13" s="1"/>
  <c r="D2" i="13"/>
  <c r="E2" i="13" s="1"/>
  <c r="D2" i="8"/>
  <c r="E2" i="8" s="1"/>
  <c r="C15" i="7"/>
  <c r="C38" i="7" s="1"/>
  <c r="D2" i="7"/>
  <c r="E2" i="7" s="1"/>
  <c r="F23" i="13"/>
  <c r="F8" i="3"/>
  <c r="F7" i="3"/>
  <c r="G8" i="7"/>
  <c r="H8" i="7"/>
  <c r="I8" i="7"/>
  <c r="J8" i="7"/>
  <c r="G9" i="7"/>
  <c r="H9" i="7"/>
  <c r="I9" i="7"/>
  <c r="J9" i="7"/>
  <c r="A1" i="10"/>
  <c r="D18" i="8"/>
  <c r="C34" i="8"/>
  <c r="C10" i="5"/>
  <c r="C18" i="5" s="1"/>
  <c r="D2" i="5"/>
  <c r="E2" i="5" s="1"/>
  <c r="F6" i="3"/>
  <c r="G16" i="13"/>
  <c r="A1" i="23"/>
  <c r="J11" i="6"/>
  <c r="J30" i="6" s="1"/>
  <c r="I11" i="6"/>
  <c r="I30" i="6" s="1"/>
  <c r="H11" i="6"/>
  <c r="H16" i="6" s="1"/>
  <c r="H24" i="6" s="1"/>
  <c r="F11" i="6"/>
  <c r="F30" i="6" s="1"/>
  <c r="E11" i="6"/>
  <c r="E16" i="6" s="1"/>
  <c r="E24" i="6" s="1"/>
  <c r="D11" i="6"/>
  <c r="D16" i="6" s="1"/>
  <c r="D24" i="6" s="1"/>
  <c r="C11" i="6"/>
  <c r="C30" i="6" s="1"/>
  <c r="F24" i="13"/>
  <c r="G24" i="13" s="1"/>
  <c r="F4" i="6"/>
  <c r="D2" i="10"/>
  <c r="E2" i="10" s="1"/>
  <c r="F2" i="10" s="1"/>
  <c r="G2" i="10" s="1"/>
  <c r="H2" i="10" s="1"/>
  <c r="I2" i="10" s="1"/>
  <c r="J2" i="10" s="1"/>
  <c r="D2" i="9"/>
  <c r="E2" i="9"/>
  <c r="F2" i="9"/>
  <c r="G2" i="9"/>
  <c r="H2" i="9"/>
  <c r="I2" i="9"/>
  <c r="J2" i="9"/>
  <c r="F9" i="7"/>
  <c r="D19" i="7"/>
  <c r="D32" i="7" s="1"/>
  <c r="D35" i="7" s="1"/>
  <c r="A1" i="3"/>
  <c r="A1" i="13"/>
  <c r="A1" i="5"/>
  <c r="A1" i="6"/>
  <c r="A1" i="7"/>
  <c r="A1" i="8"/>
  <c r="A1" i="9"/>
  <c r="A1" i="11"/>
  <c r="A1" i="12"/>
  <c r="F46" i="13"/>
  <c r="C19" i="7"/>
  <c r="C32" i="7" s="1"/>
  <c r="C35" i="7" s="1"/>
  <c r="C36" i="7" s="1"/>
  <c r="C11" i="7" s="1"/>
  <c r="C17" i="13" s="1"/>
  <c r="F8" i="6"/>
  <c r="F11" i="5"/>
  <c r="F16" i="5" s="1"/>
  <c r="B20" i="5"/>
  <c r="B19" i="5"/>
  <c r="F9" i="6"/>
  <c r="G9" i="6"/>
  <c r="H9" i="6"/>
  <c r="I9" i="6"/>
  <c r="J9" i="6"/>
  <c r="J8" i="6"/>
  <c r="I8" i="6"/>
  <c r="H8" i="6"/>
  <c r="G8" i="6"/>
  <c r="J11" i="5"/>
  <c r="I11" i="5"/>
  <c r="H11" i="5"/>
  <c r="E2" i="12"/>
  <c r="F2" i="12"/>
  <c r="G2" i="12"/>
  <c r="H2" i="12"/>
  <c r="F8" i="7"/>
  <c r="G11" i="5"/>
  <c r="J15" i="5" l="1"/>
  <c r="I17" i="6"/>
  <c r="I20" i="6" s="1"/>
  <c r="H22" i="6"/>
  <c r="H28" i="6" s="1"/>
  <c r="H26" i="6"/>
  <c r="H27" i="6" s="1"/>
  <c r="G26" i="6"/>
  <c r="G27" i="6" s="1"/>
  <c r="G22" i="6"/>
  <c r="G28" i="6" s="1"/>
  <c r="D33" i="13"/>
  <c r="E7" i="5"/>
  <c r="E32" i="13" s="1"/>
  <c r="F32" i="13" s="1"/>
  <c r="F3" i="5" s="1"/>
  <c r="E33" i="13"/>
  <c r="F33" i="13" s="1"/>
  <c r="G33" i="13" s="1"/>
  <c r="H33" i="13" s="1"/>
  <c r="I33" i="13" s="1"/>
  <c r="J33" i="13" s="1"/>
  <c r="F8" i="5"/>
  <c r="C10" i="7"/>
  <c r="C16" i="13" s="1"/>
  <c r="D7" i="5"/>
  <c r="D32" i="13" s="1"/>
  <c r="C41" i="7"/>
  <c r="C42" i="7"/>
  <c r="G45" i="13"/>
  <c r="H45" i="13" s="1"/>
  <c r="D76" i="32"/>
  <c r="D80" i="32"/>
  <c r="L51" i="32"/>
  <c r="K49" i="32"/>
  <c r="K21" i="32"/>
  <c r="L55" i="32"/>
  <c r="K53" i="32"/>
  <c r="L41" i="32"/>
  <c r="K39" i="32"/>
  <c r="K31" i="32"/>
  <c r="K17" i="32"/>
  <c r="K7" i="32"/>
  <c r="K59" i="32"/>
  <c r="K25" i="32"/>
  <c r="K3" i="32"/>
  <c r="K45" i="32"/>
  <c r="L37" i="32"/>
  <c r="K35" i="32"/>
  <c r="K11" i="32"/>
  <c r="I78" i="32"/>
  <c r="I83" i="32" s="1"/>
  <c r="I43" i="32"/>
  <c r="I15" i="32"/>
  <c r="I51" i="32"/>
  <c r="I55" i="32"/>
  <c r="J71" i="32"/>
  <c r="J79" i="32"/>
  <c r="I47" i="32"/>
  <c r="D83" i="32"/>
  <c r="G71" i="32"/>
  <c r="J75" i="32"/>
  <c r="G79" i="32"/>
  <c r="I68" i="32"/>
  <c r="F67" i="32"/>
  <c r="H67" i="32"/>
  <c r="J67" i="32"/>
  <c r="J68" i="32"/>
  <c r="K68" i="32" s="1"/>
  <c r="L68" i="32" s="1"/>
  <c r="M68" i="32" s="1"/>
  <c r="F71" i="32"/>
  <c r="G67" i="32"/>
  <c r="I61" i="32"/>
  <c r="I72" i="32"/>
  <c r="J83" i="32"/>
  <c r="H83" i="32"/>
  <c r="G83" i="32"/>
  <c r="F83" i="32"/>
  <c r="E83" i="32"/>
  <c r="C83" i="32"/>
  <c r="D30" i="8"/>
  <c r="D37" i="8" s="1"/>
  <c r="C23" i="8"/>
  <c r="C30" i="8"/>
  <c r="C37" i="8"/>
  <c r="D21" i="13"/>
  <c r="D30" i="13" s="1"/>
  <c r="D36" i="13" s="1"/>
  <c r="D42" i="13" s="1"/>
  <c r="D49" i="13" s="1"/>
  <c r="F2" i="8"/>
  <c r="G2" i="8" s="1"/>
  <c r="E13" i="8"/>
  <c r="D13" i="8"/>
  <c r="D15" i="7"/>
  <c r="D38" i="7" s="1"/>
  <c r="F2" i="13"/>
  <c r="E21" i="13"/>
  <c r="E30" i="13" s="1"/>
  <c r="E36" i="13" s="1"/>
  <c r="E42" i="13" s="1"/>
  <c r="E49" i="13" s="1"/>
  <c r="F2" i="7"/>
  <c r="E15" i="7"/>
  <c r="E38" i="7" s="1"/>
  <c r="D24" i="7"/>
  <c r="F9" i="3"/>
  <c r="G30" i="6"/>
  <c r="E30" i="6"/>
  <c r="F5" i="6"/>
  <c r="G10" i="7"/>
  <c r="H16" i="13"/>
  <c r="G5" i="6"/>
  <c r="H24" i="13"/>
  <c r="G25" i="13"/>
  <c r="G6" i="6" s="1"/>
  <c r="G51" i="13"/>
  <c r="G13" i="13"/>
  <c r="G23" i="13"/>
  <c r="G4" i="6" s="1"/>
  <c r="D10" i="5"/>
  <c r="D18" i="5" s="1"/>
  <c r="E10" i="5"/>
  <c r="E18" i="5" s="1"/>
  <c r="F2" i="5"/>
  <c r="F16" i="6"/>
  <c r="F24" i="6" s="1"/>
  <c r="D30" i="6"/>
  <c r="J16" i="6"/>
  <c r="J24" i="6" s="1"/>
  <c r="D25" i="8"/>
  <c r="C16" i="6"/>
  <c r="C24" i="6" s="1"/>
  <c r="I16" i="6"/>
  <c r="I24" i="6" s="1"/>
  <c r="H30" i="6"/>
  <c r="E37" i="8"/>
  <c r="E25" i="8"/>
  <c r="C25" i="8"/>
  <c r="G32" i="13"/>
  <c r="F4" i="5"/>
  <c r="G4" i="5" s="1"/>
  <c r="H4" i="5" s="1"/>
  <c r="I4" i="5" s="1"/>
  <c r="J4" i="5" s="1"/>
  <c r="H5" i="8"/>
  <c r="I45" i="13"/>
  <c r="G5" i="8"/>
  <c r="C24" i="7"/>
  <c r="G46" i="13"/>
  <c r="F52" i="13"/>
  <c r="F44" i="13"/>
  <c r="E19" i="7"/>
  <c r="F47" i="13"/>
  <c r="F53" i="13"/>
  <c r="J17" i="6" l="1"/>
  <c r="J20" i="6" s="1"/>
  <c r="I22" i="6"/>
  <c r="I28" i="6" s="1"/>
  <c r="I26" i="6"/>
  <c r="I27" i="6" s="1"/>
  <c r="F4" i="9"/>
  <c r="F22" i="7"/>
  <c r="I80" i="32"/>
  <c r="M13" i="32"/>
  <c r="L11" i="32"/>
  <c r="M5" i="32"/>
  <c r="M3" i="32" s="1"/>
  <c r="L3" i="32"/>
  <c r="M27" i="32"/>
  <c r="L25" i="32"/>
  <c r="M41" i="32"/>
  <c r="L39" i="32"/>
  <c r="M55" i="32"/>
  <c r="L53" i="32"/>
  <c r="M47" i="32"/>
  <c r="L45" i="32"/>
  <c r="K29" i="32"/>
  <c r="K66" i="32"/>
  <c r="M33" i="32"/>
  <c r="L31" i="32"/>
  <c r="M51" i="32"/>
  <c r="L49" i="32"/>
  <c r="K78" i="32"/>
  <c r="K15" i="32"/>
  <c r="M37" i="32"/>
  <c r="L35" i="32"/>
  <c r="K70" i="32"/>
  <c r="L59" i="32"/>
  <c r="L66" i="32" s="1"/>
  <c r="M9" i="32"/>
  <c r="L7" i="32"/>
  <c r="L74" i="32" s="1"/>
  <c r="M19" i="32"/>
  <c r="L17" i="32"/>
  <c r="K43" i="32"/>
  <c r="K57" i="32"/>
  <c r="D85" i="32"/>
  <c r="M23" i="32"/>
  <c r="L21" i="32"/>
  <c r="G84" i="32"/>
  <c r="H84" i="32"/>
  <c r="J84" i="32"/>
  <c r="F84" i="32"/>
  <c r="J85" i="32"/>
  <c r="I85" i="32"/>
  <c r="E39" i="8"/>
  <c r="C39" i="8"/>
  <c r="F13" i="8"/>
  <c r="G2" i="13"/>
  <c r="F21" i="13"/>
  <c r="F30" i="13" s="1"/>
  <c r="F36" i="13" s="1"/>
  <c r="F42" i="13" s="1"/>
  <c r="F49" i="13" s="1"/>
  <c r="G2" i="7"/>
  <c r="F15" i="7"/>
  <c r="F38" i="7" s="1"/>
  <c r="H2" i="8"/>
  <c r="G13" i="8"/>
  <c r="H25" i="13"/>
  <c r="I25" i="13" s="1"/>
  <c r="H10" i="7"/>
  <c r="I16" i="13"/>
  <c r="H5" i="6"/>
  <c r="I24" i="13"/>
  <c r="H23" i="13"/>
  <c r="H4" i="6" s="1"/>
  <c r="H13" i="13"/>
  <c r="G7" i="7"/>
  <c r="G9" i="8"/>
  <c r="H51" i="13"/>
  <c r="G2" i="5"/>
  <c r="F10" i="5"/>
  <c r="F18" i="5" s="1"/>
  <c r="H32" i="13"/>
  <c r="G3" i="5"/>
  <c r="I5" i="8"/>
  <c r="J45" i="13"/>
  <c r="F4" i="8"/>
  <c r="G44" i="13"/>
  <c r="F11" i="8"/>
  <c r="G53" i="13"/>
  <c r="G47" i="13"/>
  <c r="G11" i="13"/>
  <c r="E32" i="7"/>
  <c r="E24" i="7"/>
  <c r="F10" i="8"/>
  <c r="G52" i="13"/>
  <c r="G6" i="8"/>
  <c r="H46" i="13"/>
  <c r="J22" i="6" l="1"/>
  <c r="J28" i="6" s="1"/>
  <c r="J26" i="6"/>
  <c r="J27" i="6" s="1"/>
  <c r="L75" i="32"/>
  <c r="L76" i="32"/>
  <c r="K72" i="32"/>
  <c r="K71" i="32"/>
  <c r="E35" i="7"/>
  <c r="E10" i="7"/>
  <c r="E16" i="13" s="1"/>
  <c r="N35" i="32"/>
  <c r="O33" i="32"/>
  <c r="M31" i="32"/>
  <c r="N31" i="32" s="1"/>
  <c r="N33" i="32" s="1"/>
  <c r="L57" i="32"/>
  <c r="L29" i="32"/>
  <c r="M45" i="32"/>
  <c r="N45" i="32" s="1"/>
  <c r="N47" i="32" s="1"/>
  <c r="O47" i="32" s="1"/>
  <c r="L43" i="32"/>
  <c r="M17" i="32"/>
  <c r="N17" i="32" s="1"/>
  <c r="N19" i="32" s="1"/>
  <c r="O19" i="32" s="1"/>
  <c r="M25" i="32"/>
  <c r="M59" i="32"/>
  <c r="L15" i="32"/>
  <c r="L78" i="32"/>
  <c r="O37" i="32"/>
  <c r="M35" i="32"/>
  <c r="O51" i="32"/>
  <c r="M49" i="32"/>
  <c r="N49" i="32" s="1"/>
  <c r="K83" i="32"/>
  <c r="M21" i="32"/>
  <c r="N21" i="32" s="1"/>
  <c r="N23" i="32" s="1"/>
  <c r="O23" i="32" s="1"/>
  <c r="O55" i="32"/>
  <c r="M53" i="32"/>
  <c r="O41" i="32"/>
  <c r="M39" i="32"/>
  <c r="M43" i="32" s="1"/>
  <c r="L70" i="32"/>
  <c r="M7" i="32"/>
  <c r="M74" i="32" s="1"/>
  <c r="N3" i="32"/>
  <c r="O13" i="32"/>
  <c r="P13" i="32" s="1"/>
  <c r="Q13" i="32" s="1"/>
  <c r="R13" i="32" s="1"/>
  <c r="M11" i="32"/>
  <c r="I23" i="13"/>
  <c r="I4" i="6" s="1"/>
  <c r="H2" i="13"/>
  <c r="G21" i="13"/>
  <c r="G30" i="13" s="1"/>
  <c r="G36" i="13" s="1"/>
  <c r="G42" i="13" s="1"/>
  <c r="G49" i="13" s="1"/>
  <c r="H2" i="7"/>
  <c r="G15" i="7"/>
  <c r="G38" i="7" s="1"/>
  <c r="H13" i="8"/>
  <c r="I2" i="8"/>
  <c r="H6" i="6"/>
  <c r="I10" i="7"/>
  <c r="J16" i="13"/>
  <c r="J24" i="13"/>
  <c r="I5" i="6"/>
  <c r="H9" i="8"/>
  <c r="I51" i="13"/>
  <c r="G5" i="7"/>
  <c r="H11" i="13"/>
  <c r="I13" i="13"/>
  <c r="H7" i="7"/>
  <c r="G6" i="7"/>
  <c r="H2" i="5"/>
  <c r="G10" i="5"/>
  <c r="G18" i="5" s="1"/>
  <c r="I32" i="13"/>
  <c r="H3" i="5"/>
  <c r="J25" i="13"/>
  <c r="I6" i="6"/>
  <c r="J5" i="8"/>
  <c r="H52" i="13"/>
  <c r="G10" i="8"/>
  <c r="F5" i="7"/>
  <c r="H47" i="13"/>
  <c r="G7" i="8"/>
  <c r="H53" i="13"/>
  <c r="G11" i="8"/>
  <c r="I46" i="13"/>
  <c r="H6" i="8"/>
  <c r="F6" i="7"/>
  <c r="H44" i="13"/>
  <c r="G4" i="8"/>
  <c r="P55" i="32" l="1"/>
  <c r="Q55" i="32" s="1"/>
  <c r="R55" i="32" s="1"/>
  <c r="O53" i="32"/>
  <c r="P51" i="32"/>
  <c r="Q51" i="32" s="1"/>
  <c r="R51" i="32" s="1"/>
  <c r="O49" i="32"/>
  <c r="P49" i="32" s="1"/>
  <c r="Q49" i="32" s="1"/>
  <c r="R49" i="32" s="1"/>
  <c r="S49" i="32" s="1"/>
  <c r="P47" i="32"/>
  <c r="Q47" i="32" s="1"/>
  <c r="R47" i="32" s="1"/>
  <c r="O45" i="32"/>
  <c r="P45" i="32" s="1"/>
  <c r="Q45" i="32" s="1"/>
  <c r="R45" i="32" s="1"/>
  <c r="S45" i="32" s="1"/>
  <c r="P41" i="32"/>
  <c r="Q41" i="32" s="1"/>
  <c r="R41" i="32" s="1"/>
  <c r="O39" i="32"/>
  <c r="P39" i="32" s="1"/>
  <c r="Q39" i="32" s="1"/>
  <c r="R39" i="32" s="1"/>
  <c r="S39" i="32" s="1"/>
  <c r="P37" i="32"/>
  <c r="Q37" i="32" s="1"/>
  <c r="R37" i="32" s="1"/>
  <c r="O35" i="32"/>
  <c r="P35" i="32" s="1"/>
  <c r="Q35" i="32" s="1"/>
  <c r="R35" i="32" s="1"/>
  <c r="S35" i="32" s="1"/>
  <c r="P33" i="32"/>
  <c r="Q33" i="32" s="1"/>
  <c r="R33" i="32" s="1"/>
  <c r="O31" i="32"/>
  <c r="P31" i="32" s="1"/>
  <c r="Q31" i="32" s="1"/>
  <c r="R31" i="32" s="1"/>
  <c r="S31" i="32" s="1"/>
  <c r="P23" i="32"/>
  <c r="Q23" i="32" s="1"/>
  <c r="R23" i="32" s="1"/>
  <c r="O21" i="32"/>
  <c r="P21" i="32" s="1"/>
  <c r="Q21" i="32" s="1"/>
  <c r="R21" i="32" s="1"/>
  <c r="S21" i="32" s="1"/>
  <c r="P19" i="32"/>
  <c r="Q19" i="32" s="1"/>
  <c r="R19" i="32" s="1"/>
  <c r="O17" i="32"/>
  <c r="P17" i="32" s="1"/>
  <c r="Q17" i="32" s="1"/>
  <c r="R17" i="32" s="1"/>
  <c r="S17" i="32" s="1"/>
  <c r="L79" i="32"/>
  <c r="L80" i="32"/>
  <c r="M75" i="32"/>
  <c r="M76" i="32"/>
  <c r="K85" i="32"/>
  <c r="K84" i="32"/>
  <c r="L72" i="32"/>
  <c r="L71" i="32"/>
  <c r="E42" i="7"/>
  <c r="E41" i="7"/>
  <c r="E36" i="7"/>
  <c r="E11" i="7" s="1"/>
  <c r="E17" i="13" s="1"/>
  <c r="F17" i="13" s="1"/>
  <c r="L83" i="32"/>
  <c r="M66" i="32"/>
  <c r="N59" i="32"/>
  <c r="M70" i="32"/>
  <c r="M71" i="32" s="1"/>
  <c r="N39" i="32"/>
  <c r="N7" i="32"/>
  <c r="M57" i="32"/>
  <c r="N53" i="32"/>
  <c r="M29" i="32"/>
  <c r="N25" i="32"/>
  <c r="N27" i="32" s="1"/>
  <c r="O27" i="32" s="1"/>
  <c r="P27" i="32" s="1"/>
  <c r="Q27" i="32" s="1"/>
  <c r="R27" i="32" s="1"/>
  <c r="M15" i="32"/>
  <c r="M78" i="32"/>
  <c r="N11" i="32"/>
  <c r="O11" i="32" s="1"/>
  <c r="P11" i="32" s="1"/>
  <c r="Q11" i="32" s="1"/>
  <c r="R11" i="32" s="1"/>
  <c r="S11" i="32" s="1"/>
  <c r="N5" i="32"/>
  <c r="P5" i="32" s="1"/>
  <c r="Q5" i="32" s="1"/>
  <c r="R5" i="32" s="1"/>
  <c r="J23" i="13"/>
  <c r="J4" i="6" s="1"/>
  <c r="I2" i="13"/>
  <c r="H21" i="13"/>
  <c r="H30" i="13" s="1"/>
  <c r="H36" i="13" s="1"/>
  <c r="H42" i="13" s="1"/>
  <c r="H49" i="13" s="1"/>
  <c r="I2" i="7"/>
  <c r="H15" i="7"/>
  <c r="H38" i="7" s="1"/>
  <c r="J2" i="8"/>
  <c r="I13" i="8"/>
  <c r="J10" i="7"/>
  <c r="J5" i="6"/>
  <c r="H6" i="7"/>
  <c r="J13" i="13"/>
  <c r="I7" i="7"/>
  <c r="I11" i="13"/>
  <c r="H5" i="7"/>
  <c r="J51" i="13"/>
  <c r="I9" i="8"/>
  <c r="I2" i="5"/>
  <c r="H10" i="5"/>
  <c r="H18" i="5" s="1"/>
  <c r="I3" i="5"/>
  <c r="J32" i="13"/>
  <c r="J6" i="6"/>
  <c r="J46" i="13"/>
  <c r="I6" i="8"/>
  <c r="H11" i="8"/>
  <c r="I53" i="13"/>
  <c r="I47" i="13"/>
  <c r="H7" i="8"/>
  <c r="I44" i="13"/>
  <c r="H4" i="8"/>
  <c r="L4" i="11"/>
  <c r="L5" i="11" s="1"/>
  <c r="L6" i="11" s="1"/>
  <c r="L7" i="11" s="1"/>
  <c r="I52" i="13"/>
  <c r="H10" i="8"/>
  <c r="N61" i="32" l="1"/>
  <c r="O61" i="32" s="1"/>
  <c r="P61" i="32" s="1"/>
  <c r="Q61" i="32" s="1"/>
  <c r="R61" i="32" s="1"/>
  <c r="N70" i="32"/>
  <c r="N72" i="32" s="1"/>
  <c r="N9" i="32"/>
  <c r="O9" i="32" s="1"/>
  <c r="P9" i="32" s="1"/>
  <c r="Q9" i="32" s="1"/>
  <c r="R9" i="32" s="1"/>
  <c r="O25" i="32"/>
  <c r="P25" i="32"/>
  <c r="Q25" i="32" s="1"/>
  <c r="R25" i="32" s="1"/>
  <c r="S25" i="32" s="1"/>
  <c r="P53" i="32"/>
  <c r="Q53" i="32" s="1"/>
  <c r="R53" i="32" s="1"/>
  <c r="S53" i="32" s="1"/>
  <c r="M79" i="32"/>
  <c r="M80" i="32"/>
  <c r="O3" i="32"/>
  <c r="P3" i="32" s="1"/>
  <c r="Q3" i="32" s="1"/>
  <c r="R3" i="32" s="1"/>
  <c r="S3" i="32" s="1"/>
  <c r="L85" i="32"/>
  <c r="L84" i="32"/>
  <c r="F11" i="7"/>
  <c r="G17" i="13"/>
  <c r="N74" i="32"/>
  <c r="N76" i="32" s="1"/>
  <c r="N43" i="32"/>
  <c r="N15" i="32"/>
  <c r="N78" i="32"/>
  <c r="N80" i="32" s="1"/>
  <c r="N29" i="32"/>
  <c r="N57" i="32"/>
  <c r="M72" i="32"/>
  <c r="M83" i="32"/>
  <c r="N66" i="32"/>
  <c r="N68" i="32" s="1"/>
  <c r="O68" i="32" s="1"/>
  <c r="P68" i="32" s="1"/>
  <c r="Q68" i="32" s="1"/>
  <c r="R68" i="32" s="1"/>
  <c r="J2" i="13"/>
  <c r="I21" i="13"/>
  <c r="I30" i="13" s="1"/>
  <c r="I36" i="13" s="1"/>
  <c r="I42" i="13" s="1"/>
  <c r="I49" i="13" s="1"/>
  <c r="J2" i="7"/>
  <c r="I15" i="7"/>
  <c r="I38" i="7" s="1"/>
  <c r="J13" i="8"/>
  <c r="H18" i="13"/>
  <c r="G12" i="7"/>
  <c r="J9" i="8"/>
  <c r="J11" i="13"/>
  <c r="I5" i="7"/>
  <c r="J7" i="7"/>
  <c r="I6" i="7"/>
  <c r="J2" i="5"/>
  <c r="I10" i="5"/>
  <c r="I18" i="5" s="1"/>
  <c r="J3" i="5"/>
  <c r="F19" i="13"/>
  <c r="G19" i="13" s="1"/>
  <c r="I4" i="8"/>
  <c r="J44" i="13"/>
  <c r="J47" i="13"/>
  <c r="I7" i="8"/>
  <c r="I11" i="8"/>
  <c r="J53" i="13"/>
  <c r="J6" i="8"/>
  <c r="J52" i="13"/>
  <c r="I10" i="8"/>
  <c r="F10" i="7"/>
  <c r="E12" i="11"/>
  <c r="F39" i="13"/>
  <c r="F12" i="7"/>
  <c r="F39" i="7" s="1"/>
  <c r="F37" i="7" l="1"/>
  <c r="O59" i="32"/>
  <c r="P59" i="32" s="1"/>
  <c r="Q59" i="32" s="1"/>
  <c r="R59" i="32" s="1"/>
  <c r="S59" i="32" s="1"/>
  <c r="O7" i="32"/>
  <c r="P7" i="32" s="1"/>
  <c r="Q7" i="32" s="1"/>
  <c r="R7" i="32" s="1"/>
  <c r="S7" i="32" s="1"/>
  <c r="M85" i="32"/>
  <c r="M84" i="32"/>
  <c r="H17" i="13"/>
  <c r="G11" i="7"/>
  <c r="N83" i="32"/>
  <c r="O29" i="32"/>
  <c r="O15" i="32"/>
  <c r="O78" i="32"/>
  <c r="O80" i="32" s="1"/>
  <c r="O57" i="32"/>
  <c r="O43" i="32"/>
  <c r="O74" i="32"/>
  <c r="O76" i="32" s="1"/>
  <c r="J21" i="13"/>
  <c r="J30" i="13" s="1"/>
  <c r="J36" i="13" s="1"/>
  <c r="J42" i="13" s="1"/>
  <c r="J49" i="13" s="1"/>
  <c r="J15" i="7"/>
  <c r="J38" i="7" s="1"/>
  <c r="G13" i="7"/>
  <c r="H19" i="13"/>
  <c r="J6" i="7"/>
  <c r="J5" i="7"/>
  <c r="I18" i="13"/>
  <c r="H12" i="7"/>
  <c r="J10" i="5"/>
  <c r="J18" i="5" s="1"/>
  <c r="J7" i="8"/>
  <c r="G39" i="13"/>
  <c r="M4" i="11"/>
  <c r="J11" i="8"/>
  <c r="J10" i="8"/>
  <c r="J4" i="8"/>
  <c r="F40" i="13"/>
  <c r="F13" i="7"/>
  <c r="O66" i="32" l="1"/>
  <c r="O70" i="32"/>
  <c r="O72" i="32" s="1"/>
  <c r="I17" i="13"/>
  <c r="H11" i="7"/>
  <c r="N85" i="32"/>
  <c r="P74" i="32"/>
  <c r="P76" i="32" s="1"/>
  <c r="O83" i="32"/>
  <c r="O85" i="32" s="1"/>
  <c r="G6" i="13" s="1"/>
  <c r="P43" i="32"/>
  <c r="P57" i="32"/>
  <c r="P15" i="32"/>
  <c r="P78" i="32"/>
  <c r="P80" i="32" s="1"/>
  <c r="P66" i="32"/>
  <c r="P70" i="32"/>
  <c r="P72" i="32" s="1"/>
  <c r="P29" i="32"/>
  <c r="H13" i="7"/>
  <c r="I19" i="13"/>
  <c r="J18" i="13"/>
  <c r="I12" i="7"/>
  <c r="M5" i="11"/>
  <c r="H39" i="13"/>
  <c r="G40" i="13"/>
  <c r="G8" i="13" l="1"/>
  <c r="G7" i="13"/>
  <c r="J17" i="13"/>
  <c r="J11" i="7" s="1"/>
  <c r="I11" i="7"/>
  <c r="R57" i="32"/>
  <c r="S57" i="32" s="1"/>
  <c r="Q57" i="32"/>
  <c r="R29" i="32"/>
  <c r="S29" i="32" s="1"/>
  <c r="Q29" i="32"/>
  <c r="Q70" i="32"/>
  <c r="Q72" i="32" s="1"/>
  <c r="R66" i="32"/>
  <c r="S66" i="32" s="1"/>
  <c r="Q66" i="32"/>
  <c r="Q15" i="32"/>
  <c r="Q78" i="32"/>
  <c r="Q80" i="32" s="1"/>
  <c r="R43" i="32"/>
  <c r="S43" i="32" s="1"/>
  <c r="Q43" i="32"/>
  <c r="P83" i="32"/>
  <c r="P85" i="32" s="1"/>
  <c r="H6" i="13" s="1"/>
  <c r="Q74" i="32"/>
  <c r="Q76" i="32" s="1"/>
  <c r="J12" i="7"/>
  <c r="J19" i="13"/>
  <c r="I13" i="7"/>
  <c r="H40" i="13"/>
  <c r="M6" i="11"/>
  <c r="M7" i="11"/>
  <c r="I39" i="13"/>
  <c r="H7" i="13" l="1"/>
  <c r="H8" i="13"/>
  <c r="R15" i="32"/>
  <c r="S15" i="32" s="1"/>
  <c r="R74" i="32"/>
  <c r="R78" i="32"/>
  <c r="Q83" i="32"/>
  <c r="Q85" i="32" s="1"/>
  <c r="I6" i="13" s="1"/>
  <c r="R70" i="32"/>
  <c r="J13" i="7"/>
  <c r="M9" i="11"/>
  <c r="M11" i="11" s="1"/>
  <c r="E7" i="11" s="1"/>
  <c r="E8" i="11" s="1"/>
  <c r="E13" i="11" s="1"/>
  <c r="I40" i="13"/>
  <c r="J39" i="13"/>
  <c r="I7" i="13" l="1"/>
  <c r="I8" i="13"/>
  <c r="R72" i="32"/>
  <c r="S70" i="32"/>
  <c r="R80" i="32"/>
  <c r="S78" i="32"/>
  <c r="R76" i="32"/>
  <c r="S74" i="32"/>
  <c r="R83" i="32"/>
  <c r="J40" i="13"/>
  <c r="R85" i="32" l="1"/>
  <c r="J6" i="13" s="1"/>
  <c r="S83" i="32"/>
  <c r="G10" i="13"/>
  <c r="G4" i="7" s="1"/>
  <c r="I10" i="13"/>
  <c r="I4" i="7" s="1"/>
  <c r="H10" i="13"/>
  <c r="H4" i="7" s="1"/>
  <c r="F10" i="13"/>
  <c r="J8" i="13" l="1"/>
  <c r="J10" i="13" s="1"/>
  <c r="J4" i="7" s="1"/>
  <c r="J7" i="13"/>
  <c r="F4" i="7"/>
  <c r="F16" i="7" s="1"/>
  <c r="G16" i="7" s="1"/>
  <c r="F29" i="8"/>
  <c r="F23" i="5" s="1"/>
  <c r="F15" i="8"/>
  <c r="F20" i="5" s="1"/>
  <c r="F3" i="10" l="1"/>
  <c r="F17" i="8"/>
  <c r="F21" i="5" s="1"/>
  <c r="F17" i="7"/>
  <c r="G29" i="8"/>
  <c r="G23" i="5" s="1"/>
  <c r="G15" i="8"/>
  <c r="G20" i="5" s="1"/>
  <c r="G7" i="5"/>
  <c r="G11" i="9" s="1"/>
  <c r="G12" i="9" s="1"/>
  <c r="G13" i="10" s="1"/>
  <c r="H16" i="7"/>
  <c r="G3" i="10"/>
  <c r="G22" i="8"/>
  <c r="G33" i="8"/>
  <c r="G34" i="8" s="1"/>
  <c r="G17" i="8"/>
  <c r="G21" i="5" s="1"/>
  <c r="G17" i="7"/>
  <c r="G18" i="7"/>
  <c r="F18" i="7"/>
  <c r="F19" i="7" s="1"/>
  <c r="F22" i="8"/>
  <c r="F7" i="9" s="1"/>
  <c r="F11" i="10" s="1"/>
  <c r="F7" i="5"/>
  <c r="F33" i="8"/>
  <c r="G8" i="9" s="1"/>
  <c r="G12" i="10" s="1"/>
  <c r="F28" i="8"/>
  <c r="F22" i="5" s="1"/>
  <c r="F16" i="8"/>
  <c r="F19" i="5" s="1"/>
  <c r="H33" i="8"/>
  <c r="H22" i="8"/>
  <c r="H7" i="5"/>
  <c r="H11" i="9" s="1"/>
  <c r="H12" i="9" s="1"/>
  <c r="H3" i="10"/>
  <c r="H29" i="8"/>
  <c r="H23" i="5" s="1"/>
  <c r="H17" i="8"/>
  <c r="H21" i="5" s="1"/>
  <c r="I16" i="7"/>
  <c r="H17" i="7"/>
  <c r="H18" i="7"/>
  <c r="H15" i="8"/>
  <c r="H20" i="5" s="1"/>
  <c r="G7" i="9" l="1"/>
  <c r="G11" i="10" s="1"/>
  <c r="G19" i="7"/>
  <c r="G28" i="8"/>
  <c r="G22" i="5" s="1"/>
  <c r="G16" i="8"/>
  <c r="G19" i="5" s="1"/>
  <c r="F32" i="7"/>
  <c r="F4" i="10"/>
  <c r="F7" i="10" s="1"/>
  <c r="F20" i="7"/>
  <c r="F24" i="7"/>
  <c r="H19" i="7"/>
  <c r="H4" i="10" s="1"/>
  <c r="H7" i="10" s="1"/>
  <c r="F8" i="9"/>
  <c r="F12" i="10" s="1"/>
  <c r="F34" i="8"/>
  <c r="F11" i="9"/>
  <c r="F12" i="9" s="1"/>
  <c r="F13" i="10" s="1"/>
  <c r="F9" i="5"/>
  <c r="H8" i="9"/>
  <c r="H12" i="10" s="1"/>
  <c r="H34" i="8"/>
  <c r="I15" i="8"/>
  <c r="I20" i="5" s="1"/>
  <c r="I29" i="8"/>
  <c r="I23" i="5" s="1"/>
  <c r="I7" i="5"/>
  <c r="I11" i="9" s="1"/>
  <c r="I12" i="9" s="1"/>
  <c r="I33" i="8"/>
  <c r="I18" i="7"/>
  <c r="I17" i="7"/>
  <c r="I17" i="8"/>
  <c r="I21" i="5" s="1"/>
  <c r="I3" i="10"/>
  <c r="I22" i="8"/>
  <c r="J16" i="7"/>
  <c r="F24" i="5"/>
  <c r="H28" i="8"/>
  <c r="H22" i="5" s="1"/>
  <c r="H16" i="8"/>
  <c r="H19" i="5" s="1"/>
  <c r="H7" i="9"/>
  <c r="H11" i="10" s="1"/>
  <c r="H13" i="10"/>
  <c r="F34" i="7"/>
  <c r="F35" i="7" s="1"/>
  <c r="G24" i="5"/>
  <c r="G32" i="7" l="1"/>
  <c r="G34" i="7" s="1"/>
  <c r="G35" i="7" s="1"/>
  <c r="G36" i="7" s="1"/>
  <c r="G4" i="10"/>
  <c r="G7" i="10" s="1"/>
  <c r="G20" i="7"/>
  <c r="H20" i="7"/>
  <c r="H32" i="7"/>
  <c r="H24" i="5"/>
  <c r="H25" i="5" s="1"/>
  <c r="H6" i="9" s="1"/>
  <c r="H10" i="10" s="1"/>
  <c r="G6" i="5"/>
  <c r="F20" i="8"/>
  <c r="F23" i="8" s="1"/>
  <c r="G25" i="5"/>
  <c r="G6" i="9" s="1"/>
  <c r="G10" i="10" s="1"/>
  <c r="F25" i="5"/>
  <c r="F6" i="9" s="1"/>
  <c r="F10" i="10" s="1"/>
  <c r="F15" i="10" s="1"/>
  <c r="D4" i="12" s="1"/>
  <c r="I34" i="8"/>
  <c r="I8" i="9"/>
  <c r="I12" i="10" s="1"/>
  <c r="F3" i="9"/>
  <c r="F41" i="7"/>
  <c r="F14" i="5"/>
  <c r="F17" i="5" s="1"/>
  <c r="F42" i="7"/>
  <c r="F36" i="7"/>
  <c r="J29" i="8"/>
  <c r="J23" i="5" s="1"/>
  <c r="J7" i="5"/>
  <c r="J11" i="9" s="1"/>
  <c r="J12" i="9" s="1"/>
  <c r="J17" i="7"/>
  <c r="J15" i="8"/>
  <c r="J20" i="5" s="1"/>
  <c r="J22" i="8"/>
  <c r="J7" i="9" s="1"/>
  <c r="J11" i="10" s="1"/>
  <c r="J3" i="10"/>
  <c r="J33" i="8"/>
  <c r="J17" i="8"/>
  <c r="J21" i="5" s="1"/>
  <c r="J18" i="7"/>
  <c r="I7" i="9"/>
  <c r="I11" i="10" s="1"/>
  <c r="H34" i="7"/>
  <c r="H35" i="7" s="1"/>
  <c r="I16" i="8"/>
  <c r="I19" i="5" s="1"/>
  <c r="I28" i="8"/>
  <c r="I22" i="5" s="1"/>
  <c r="I19" i="7"/>
  <c r="G41" i="7"/>
  <c r="G3" i="9"/>
  <c r="I13" i="10"/>
  <c r="G42" i="7" l="1"/>
  <c r="G14" i="5"/>
  <c r="F9" i="9"/>
  <c r="F19" i="9" s="1"/>
  <c r="F22" i="9" s="1"/>
  <c r="F23" i="9" s="1"/>
  <c r="I24" i="5"/>
  <c r="I25" i="5" s="1"/>
  <c r="I6" i="9" s="1"/>
  <c r="I10" i="10" s="1"/>
  <c r="G8" i="5"/>
  <c r="I4" i="10"/>
  <c r="I7" i="10" s="1"/>
  <c r="I32" i="7"/>
  <c r="I20" i="7"/>
  <c r="J8" i="9"/>
  <c r="J12" i="10" s="1"/>
  <c r="J34" i="8"/>
  <c r="J13" i="10"/>
  <c r="G13" i="5"/>
  <c r="G17" i="5" s="1"/>
  <c r="F36" i="8"/>
  <c r="H36" i="7"/>
  <c r="H42" i="7"/>
  <c r="H14" i="5"/>
  <c r="H41" i="7"/>
  <c r="H3" i="9"/>
  <c r="J28" i="8"/>
  <c r="J22" i="5" s="1"/>
  <c r="J16" i="8"/>
  <c r="J19" i="5" s="1"/>
  <c r="J19" i="7"/>
  <c r="F14" i="8"/>
  <c r="F27" i="8"/>
  <c r="F30" i="8" s="1"/>
  <c r="G22" i="7" l="1"/>
  <c r="G24" i="7" s="1"/>
  <c r="G4" i="9"/>
  <c r="G9" i="5"/>
  <c r="F31" i="6"/>
  <c r="F33" i="6" s="1"/>
  <c r="F18" i="8"/>
  <c r="F25" i="8" s="1"/>
  <c r="G21" i="9"/>
  <c r="J24" i="5"/>
  <c r="J25" i="5" s="1"/>
  <c r="J6" i="9" s="1"/>
  <c r="J10" i="10" s="1"/>
  <c r="F37" i="8"/>
  <c r="J20" i="7"/>
  <c r="J32" i="7"/>
  <c r="J4" i="10"/>
  <c r="J7" i="10" s="1"/>
  <c r="G36" i="8"/>
  <c r="H13" i="5"/>
  <c r="H17" i="5" s="1"/>
  <c r="I34" i="7"/>
  <c r="I35" i="7" s="1"/>
  <c r="F39" i="8" l="1"/>
  <c r="G8" i="10"/>
  <c r="G15" i="10" s="1"/>
  <c r="E4" i="12" s="1"/>
  <c r="G9" i="9"/>
  <c r="G19" i="9" s="1"/>
  <c r="G22" i="9" s="1"/>
  <c r="G23" i="9" s="1"/>
  <c r="H6" i="5"/>
  <c r="G20" i="8"/>
  <c r="G23" i="8" s="1"/>
  <c r="I42" i="7"/>
  <c r="I36" i="7"/>
  <c r="I14" i="5"/>
  <c r="I3" i="9"/>
  <c r="I41" i="7"/>
  <c r="I13" i="5"/>
  <c r="H36" i="8"/>
  <c r="J34" i="7"/>
  <c r="J35" i="7" s="1"/>
  <c r="G14" i="8" l="1"/>
  <c r="G31" i="6" s="1"/>
  <c r="G33" i="6" s="1"/>
  <c r="G27" i="8"/>
  <c r="G30" i="8" s="1"/>
  <c r="G37" i="8" s="1"/>
  <c r="H8" i="5"/>
  <c r="H9" i="5" s="1"/>
  <c r="I17" i="5"/>
  <c r="J36" i="7"/>
  <c r="J3" i="9"/>
  <c r="J14" i="5"/>
  <c r="J42" i="7"/>
  <c r="J41" i="7"/>
  <c r="J13" i="5"/>
  <c r="I36" i="8"/>
  <c r="H21" i="9" l="1"/>
  <c r="G18" i="8"/>
  <c r="G25" i="8" s="1"/>
  <c r="G39" i="8" s="1"/>
  <c r="J17" i="5"/>
  <c r="J36" i="8" s="1"/>
  <c r="I6" i="5"/>
  <c r="H20" i="8"/>
  <c r="H23" i="8" s="1"/>
  <c r="H22" i="7"/>
  <c r="H24" i="7" s="1"/>
  <c r="H4" i="9"/>
  <c r="I8" i="5" l="1"/>
  <c r="I9" i="5" s="1"/>
  <c r="H8" i="10"/>
  <c r="H15" i="10" s="1"/>
  <c r="F4" i="12" s="1"/>
  <c r="H9" i="9"/>
  <c r="H19" i="9" s="1"/>
  <c r="H22" i="9" s="1"/>
  <c r="H23" i="9" s="1"/>
  <c r="H27" i="8" l="1"/>
  <c r="H30" i="8" s="1"/>
  <c r="H37" i="8" s="1"/>
  <c r="H14" i="8"/>
  <c r="J6" i="5"/>
  <c r="I20" i="8"/>
  <c r="I23" i="8" s="1"/>
  <c r="I4" i="9"/>
  <c r="I22" i="7"/>
  <c r="I24" i="7" s="1"/>
  <c r="J8" i="5" l="1"/>
  <c r="J9" i="5" s="1"/>
  <c r="J20" i="8" s="1"/>
  <c r="J23" i="8" s="1"/>
  <c r="H18" i="8"/>
  <c r="H25" i="8" s="1"/>
  <c r="H39" i="8" s="1"/>
  <c r="I21" i="9"/>
  <c r="H31" i="6"/>
  <c r="H33" i="6" s="1"/>
  <c r="I8" i="10"/>
  <c r="I15" i="10" s="1"/>
  <c r="G4" i="12" s="1"/>
  <c r="I9" i="9"/>
  <c r="I19" i="9" s="1"/>
  <c r="I22" i="9" s="1"/>
  <c r="I23" i="9" l="1"/>
  <c r="J22" i="7"/>
  <c r="J24" i="7" s="1"/>
  <c r="G8" i="12" s="1"/>
  <c r="J4" i="9"/>
  <c r="J8" i="10" l="1"/>
  <c r="J15" i="10" s="1"/>
  <c r="H4" i="12" s="1"/>
  <c r="J9" i="9"/>
  <c r="J19" i="9" s="1"/>
  <c r="J22" i="9" s="1"/>
  <c r="I14" i="8"/>
  <c r="I27" i="8"/>
  <c r="I30" i="8" s="1"/>
  <c r="I37" i="8" s="1"/>
  <c r="J21" i="9" l="1"/>
  <c r="J23" i="9" s="1"/>
  <c r="I18" i="8"/>
  <c r="I25" i="8" s="1"/>
  <c r="I39" i="8" s="1"/>
  <c r="I31" i="6"/>
  <c r="I33" i="6" s="1"/>
  <c r="G7" i="12"/>
  <c r="G9" i="12" s="1"/>
  <c r="G15" i="12" s="1"/>
  <c r="G18" i="12" s="1"/>
  <c r="C7" i="12"/>
  <c r="H5" i="12"/>
  <c r="C8" i="12" s="1"/>
  <c r="C9" i="12" l="1"/>
  <c r="C15" i="12" s="1"/>
  <c r="C18" i="12" s="1"/>
  <c r="D13" i="3" s="1"/>
  <c r="J27" i="8"/>
  <c r="J30" i="8" s="1"/>
  <c r="J37" i="8" s="1"/>
  <c r="J14" i="8"/>
  <c r="C13" i="3"/>
  <c r="F12" i="3" l="1"/>
  <c r="F13" i="3" s="1"/>
  <c r="J31" i="6"/>
  <c r="J33" i="6" s="1"/>
  <c r="J18" i="8"/>
  <c r="J25" i="8" s="1"/>
  <c r="J39" i="8" s="1"/>
  <c r="D3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Ascoli</author>
    <author>Alan</author>
  </authors>
  <commentList>
    <comment ref="C5" authorId="0" shapeId="0" xr:uid="{00000000-0006-0000-0000-000001000000}">
      <text>
        <r>
          <rPr>
            <sz val="8"/>
            <color indexed="81"/>
            <rFont val="Tahoma"/>
            <family val="2"/>
          </rPr>
          <t>Latest historical year</t>
        </r>
      </text>
    </comment>
    <comment ref="F5" authorId="1" shapeId="0" xr:uid="{D160BEFF-3506-485D-965D-D71A86BE4D73}">
      <text>
        <r>
          <rPr>
            <b/>
            <sz val="9"/>
            <color indexed="81"/>
            <rFont val="Tahoma"/>
            <charset val="1"/>
          </rPr>
          <t>Alan:</t>
        </r>
        <r>
          <rPr>
            <sz val="9"/>
            <color indexed="81"/>
            <rFont val="Tahoma"/>
            <charset val="1"/>
          </rPr>
          <t xml:space="preserve">
Q126, Class A + B</t>
        </r>
      </text>
    </comment>
    <comment ref="F7" authorId="1" shapeId="0" xr:uid="{BE0181AE-0027-4B26-8B63-F4FE405F83F3}">
      <text>
        <r>
          <rPr>
            <b/>
            <sz val="9"/>
            <color indexed="81"/>
            <rFont val="Tahoma"/>
            <charset val="1"/>
          </rPr>
          <t>Alan:</t>
        </r>
        <r>
          <rPr>
            <sz val="9"/>
            <color indexed="81"/>
            <rFont val="Tahoma"/>
            <charset val="1"/>
          </rPr>
          <t xml:space="preserve">
Q126, Class A + B</t>
        </r>
      </text>
    </comment>
    <comment ref="F8" authorId="1" shapeId="0" xr:uid="{CE0BA3C0-97DB-4826-BA62-83DCC0D348EA}">
      <text>
        <r>
          <rPr>
            <b/>
            <sz val="9"/>
            <color indexed="81"/>
            <rFont val="Tahoma"/>
            <charset val="1"/>
          </rPr>
          <t>Alan:</t>
        </r>
        <r>
          <rPr>
            <sz val="9"/>
            <color indexed="81"/>
            <rFont val="Tahoma"/>
            <charset val="1"/>
          </rPr>
          <t xml:space="preserve">
Q126, Class A + 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</author>
  </authors>
  <commentList>
    <comment ref="B57" authorId="0" shapeId="0" xr:uid="{56603ADF-4638-4108-8D2B-74BC0462B10F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Excluding China
</t>
        </r>
      </text>
    </comment>
    <comment ref="K61" authorId="0" shapeId="0" xr:uid="{E72EBF3B-29C2-476F-A5E4-9194C16DF4DA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Assuming aggressive recovery plan proposed by management</t>
        </r>
      </text>
    </comment>
    <comment ref="B70" authorId="0" shapeId="0" xr:uid="{3739D0C2-FF27-433B-AECB-AE1E3AF5DE9D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assuming 2% sales increase for 2026 World Cup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</author>
  </authors>
  <commentList>
    <comment ref="F11" authorId="0" shapeId="0" xr:uid="{B14C0B08-D8C7-426D-B27D-4B4A9035DA6A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Q126 Earnings Transcript pg.11
120bps hit to GM</t>
        </r>
      </text>
    </comment>
    <comment ref="F14" authorId="0" shapeId="0" xr:uid="{B5F05328-47FB-4C28-9297-8441A0D77EE4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2026 Q1 earnings transcript pg.11</t>
        </r>
      </text>
    </comment>
    <comment ref="E23" authorId="0" shapeId="0" xr:uid="{60939AE8-5B4C-4373-9E93-DC11733161E9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10-K, Pg.70 Term SOFR
Interest rate swap % adjusted for 0.725%</t>
        </r>
      </text>
    </comment>
    <comment ref="F34" authorId="0" shapeId="0" xr:uid="{635CD64A-BD1D-4B28-A7CC-D4B1100AB69D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Continuation of their share repurchase program.</t>
        </r>
      </text>
    </comment>
    <comment ref="G34" authorId="0" shapeId="0" xr:uid="{28EC0CBC-8E50-405B-8A8D-BF48E5058D0D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Continuation of their share repurchase program.</t>
        </r>
      </text>
    </comment>
    <comment ref="E38" authorId="0" shapeId="0" xr:uid="{D2661B2D-9AEE-4897-AD4B-F2B35C5E020C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Quarterly dividends of 0.4$ per share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 Chen</author>
  </authors>
  <commentList>
    <comment ref="G10" authorId="0" shapeId="0" xr:uid="{1083F158-90D8-4485-AB2E-5BC81D005AE5}">
      <text>
        <r>
          <rPr>
            <b/>
            <sz val="9"/>
            <color indexed="81"/>
            <rFont val="Tahoma"/>
            <family val="2"/>
          </rPr>
          <t>Alan Chen:</t>
        </r>
        <r>
          <rPr>
            <sz val="9"/>
            <color indexed="81"/>
            <rFont val="Tahoma"/>
            <family val="2"/>
          </rPr>
          <t xml:space="preserve">
Fixed for full year instead of mid-year convention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</author>
  </authors>
  <commentList>
    <comment ref="B3" authorId="0" shapeId="0" xr:uid="{0E5990BC-F315-4221-AF70-CB2156169B78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Reported in Euros</t>
        </r>
      </text>
    </comment>
  </commentList>
</comments>
</file>

<file path=xl/sharedStrings.xml><?xml version="1.0" encoding="utf-8"?>
<sst xmlns="http://schemas.openxmlformats.org/spreadsheetml/2006/main" count="480" uniqueCount="255">
  <si>
    <t>Hist.</t>
  </si>
  <si>
    <t>Proj.</t>
  </si>
  <si>
    <t>Analyst name</t>
  </si>
  <si>
    <t>Company name</t>
  </si>
  <si>
    <t>Latest BS date</t>
  </si>
  <si>
    <t>Currency</t>
  </si>
  <si>
    <t>Units</t>
  </si>
  <si>
    <t>Circular switch</t>
  </si>
  <si>
    <t>m</t>
  </si>
  <si>
    <t>USD</t>
  </si>
  <si>
    <t>Assumptions</t>
  </si>
  <si>
    <t>Net PP&amp;E</t>
  </si>
  <si>
    <t>Capital expenditure % of sales</t>
  </si>
  <si>
    <t>Beginning PP&amp;E</t>
  </si>
  <si>
    <t>Capex</t>
  </si>
  <si>
    <t>Depreciation</t>
  </si>
  <si>
    <t>Ending PP&amp;E</t>
  </si>
  <si>
    <t>Equity</t>
  </si>
  <si>
    <t>Share issuance/(repurchases)</t>
  </si>
  <si>
    <t>Beginning balance</t>
  </si>
  <si>
    <t>Net income</t>
  </si>
  <si>
    <t>Dividends paid</t>
  </si>
  <si>
    <t>Share issuance / (repurchase)</t>
  </si>
  <si>
    <t>Ending balance</t>
  </si>
  <si>
    <t>OWC</t>
  </si>
  <si>
    <t>Interest rate on revolver</t>
  </si>
  <si>
    <t>Interest rate on long-term debt</t>
  </si>
  <si>
    <t>Interest rate on cash</t>
  </si>
  <si>
    <t>Issuance of long-term debt</t>
  </si>
  <si>
    <t>Repayment of long-term debt</t>
  </si>
  <si>
    <t>Revolver</t>
  </si>
  <si>
    <t>Balance</t>
  </si>
  <si>
    <t>Interest rate</t>
  </si>
  <si>
    <t>Interest expense</t>
  </si>
  <si>
    <t>Long term debt</t>
  </si>
  <si>
    <t>Issuance</t>
  </si>
  <si>
    <t>Repayment</t>
  </si>
  <si>
    <t>Debt summary</t>
  </si>
  <si>
    <t>Total long term debt</t>
  </si>
  <si>
    <t xml:space="preserve"> Total debt</t>
  </si>
  <si>
    <t xml:space="preserve"> Total interest expense</t>
  </si>
  <si>
    <t>Interest income</t>
  </si>
  <si>
    <t>Income statement</t>
  </si>
  <si>
    <t>Revenue growth</t>
  </si>
  <si>
    <t>Cost of goods sold as % of sales</t>
  </si>
  <si>
    <t>SG&amp;A % of sales</t>
  </si>
  <si>
    <t>Amortization amount</t>
  </si>
  <si>
    <t>Non recurring items, amount</t>
  </si>
  <si>
    <t>Effective tax rate</t>
  </si>
  <si>
    <t>Basic WASO</t>
  </si>
  <si>
    <t>Diluted WASO</t>
  </si>
  <si>
    <t>Revenue</t>
  </si>
  <si>
    <t>SG&amp;A</t>
  </si>
  <si>
    <t>EBITDA</t>
  </si>
  <si>
    <t>Amortization</t>
  </si>
  <si>
    <t>EBIT</t>
  </si>
  <si>
    <t>Non-recurring items</t>
  </si>
  <si>
    <t>Other income (expense)</t>
  </si>
  <si>
    <t>Tax expense</t>
  </si>
  <si>
    <t xml:space="preserve"> Net income</t>
  </si>
  <si>
    <t>Dividends</t>
  </si>
  <si>
    <t>Shareholder information</t>
  </si>
  <si>
    <t>Basic earnings per share</t>
  </si>
  <si>
    <t>Diluted earnings per share</t>
  </si>
  <si>
    <t>Balance sheet</t>
  </si>
  <si>
    <t>Inventories % of COGS</t>
  </si>
  <si>
    <t>Other current assets % of sales</t>
  </si>
  <si>
    <t>Other long-term assets % of sales</t>
  </si>
  <si>
    <t>Other current liabilities % of sales</t>
  </si>
  <si>
    <t>Other long-term liabilities % of sales</t>
  </si>
  <si>
    <t>Accounts receivable</t>
  </si>
  <si>
    <t>Inventories</t>
  </si>
  <si>
    <t>Other current assets</t>
  </si>
  <si>
    <t xml:space="preserve"> Total current assets</t>
  </si>
  <si>
    <t>Property, plant &amp; equipment, net</t>
  </si>
  <si>
    <t xml:space="preserve"> Total non-current assets</t>
  </si>
  <si>
    <t>TOTAL ASSETS</t>
  </si>
  <si>
    <t>Revolver/Short term debt</t>
  </si>
  <si>
    <t>Other current liabilities</t>
  </si>
  <si>
    <t xml:space="preserve"> Total current liabilities</t>
  </si>
  <si>
    <t>Long-term debt, including current maturities</t>
  </si>
  <si>
    <t>Other long-term liabilities</t>
  </si>
  <si>
    <t xml:space="preserve"> Total non-current liabilities</t>
  </si>
  <si>
    <t>TOTAL LIABILITIES &amp; EQUITY</t>
  </si>
  <si>
    <t>Balance check</t>
  </si>
  <si>
    <t>Cash flow statement</t>
  </si>
  <si>
    <t>Pretax Income</t>
  </si>
  <si>
    <t>Alan Chen</t>
  </si>
  <si>
    <t>Free Cash Flows</t>
  </si>
  <si>
    <t>Sales</t>
  </si>
  <si>
    <t>NOPAT</t>
  </si>
  <si>
    <t>(inc) / dec in OWC</t>
  </si>
  <si>
    <t>(Capex)</t>
  </si>
  <si>
    <t>Free Cash Flow</t>
  </si>
  <si>
    <t>Effective Tax Rate</t>
  </si>
  <si>
    <t>Risk free rate</t>
  </si>
  <si>
    <t>Market risk Premium</t>
  </si>
  <si>
    <t>Beta</t>
  </si>
  <si>
    <t>Cost of Equity</t>
  </si>
  <si>
    <t>% Equity</t>
  </si>
  <si>
    <t>% Debt</t>
  </si>
  <si>
    <t>Post tax cost of debt</t>
  </si>
  <si>
    <t>WACC</t>
  </si>
  <si>
    <t>Long Term growth rate</t>
  </si>
  <si>
    <t>Levered beta</t>
  </si>
  <si>
    <t>Gross debt</t>
  </si>
  <si>
    <t>Market cap</t>
  </si>
  <si>
    <t>Debt/Mcap</t>
  </si>
  <si>
    <t>Unlevered beta</t>
  </si>
  <si>
    <t>Comp</t>
  </si>
  <si>
    <t>Industry beta (average)</t>
  </si>
  <si>
    <t>Re-levered beta</t>
  </si>
  <si>
    <t>MTR</t>
  </si>
  <si>
    <t>Discount Model Year count</t>
  </si>
  <si>
    <t>Value Calculation</t>
  </si>
  <si>
    <t>Total PV of FCFs</t>
  </si>
  <si>
    <t>PV of TV</t>
  </si>
  <si>
    <t>EV</t>
  </si>
  <si>
    <t>Implied EBITDA multiple</t>
  </si>
  <si>
    <t>Cash &amp; Cash Equiv</t>
  </si>
  <si>
    <t>Debt &amp; Claims</t>
  </si>
  <si>
    <t>NCI</t>
  </si>
  <si>
    <t>Equity Value</t>
  </si>
  <si>
    <t>Diluted S/O</t>
  </si>
  <si>
    <t>Implied Share Price</t>
  </si>
  <si>
    <t>*</t>
  </si>
  <si>
    <t>Income Statement</t>
  </si>
  <si>
    <t>Variance</t>
  </si>
  <si>
    <t>Pessimistic Case</t>
  </si>
  <si>
    <t>Optimistic Case</t>
  </si>
  <si>
    <t>Dividend payout ratio</t>
  </si>
  <si>
    <t>Balance Sheet - Assets</t>
  </si>
  <si>
    <t>Balance Sheet - Liabilities</t>
  </si>
  <si>
    <t>Operating Case</t>
  </si>
  <si>
    <t>Street Case</t>
  </si>
  <si>
    <t>COGS % of sales</t>
  </si>
  <si>
    <t>Depreciation % of PP&amp;E</t>
  </si>
  <si>
    <t>Amortization $ Amt</t>
  </si>
  <si>
    <t>Non recurring income / (expense)</t>
  </si>
  <si>
    <t>Interest rate on Revolver</t>
  </si>
  <si>
    <t>Other Income / (expense)</t>
  </si>
  <si>
    <t>Dividend Payout Rate</t>
  </si>
  <si>
    <t>Calcs</t>
  </si>
  <si>
    <t>CapEx % of Sales</t>
  </si>
  <si>
    <t>Share issuance / (repurchases)</t>
  </si>
  <si>
    <t>Debt</t>
  </si>
  <si>
    <t>Other income (expense), amt</t>
  </si>
  <si>
    <t>Sensitivity analysis</t>
  </si>
  <si>
    <t>Discount rate variance</t>
  </si>
  <si>
    <t>Implied growth rate variance</t>
  </si>
  <si>
    <t>Revenue Growth</t>
  </si>
  <si>
    <t>Change in OWC</t>
  </si>
  <si>
    <t>Accounts payable/Accurals</t>
  </si>
  <si>
    <t>Accounts payable/Accural % of COGS</t>
  </si>
  <si>
    <t>Accounts receivable % of sales</t>
  </si>
  <si>
    <t>Accounts payable % of COGS</t>
  </si>
  <si>
    <t>Depreciation % of beginning PP&amp;E</t>
  </si>
  <si>
    <t>Net Income</t>
  </si>
  <si>
    <t>COGS</t>
  </si>
  <si>
    <t>Intangible assets</t>
  </si>
  <si>
    <t>Other assets</t>
  </si>
  <si>
    <t>Accounts payables</t>
  </si>
  <si>
    <t>(inc) / dec in other long-term assets</t>
  </si>
  <si>
    <t>inc / (dec) other long-term liabilities</t>
  </si>
  <si>
    <t>Tax Rate</t>
  </si>
  <si>
    <t xml:space="preserve"> </t>
  </si>
  <si>
    <t>Current Stock Price</t>
  </si>
  <si>
    <t>Excess Cash</t>
  </si>
  <si>
    <t>TV multiple variance</t>
  </si>
  <si>
    <t>Multiples Calculation</t>
  </si>
  <si>
    <t>Multiple TV</t>
  </si>
  <si>
    <t>DCF tables</t>
  </si>
  <si>
    <t>Cash</t>
  </si>
  <si>
    <t>Implied Price</t>
  </si>
  <si>
    <t>Difference</t>
  </si>
  <si>
    <t>Dividend payout rate</t>
  </si>
  <si>
    <t>Cost of debt</t>
  </si>
  <si>
    <t>Price 10/14/25</t>
  </si>
  <si>
    <t>LTM EV/EBITDA</t>
  </si>
  <si>
    <t>Average</t>
  </si>
  <si>
    <t>Delta -&gt; Average</t>
  </si>
  <si>
    <t>Company Symbol</t>
  </si>
  <si>
    <t>Enterprise Value</t>
  </si>
  <si>
    <t>LTM P/E Ratio</t>
  </si>
  <si>
    <t xml:space="preserve">LTM EV/EBIT </t>
  </si>
  <si>
    <t>LTM EV/Sales</t>
  </si>
  <si>
    <t>Delta % Average</t>
  </si>
  <si>
    <t>Perpetuity</t>
  </si>
  <si>
    <t>Terminal Mult</t>
  </si>
  <si>
    <t>Model Details</t>
  </si>
  <si>
    <t>Weighted Avg</t>
  </si>
  <si>
    <t>Comps</t>
  </si>
  <si>
    <t>Nike Inc.</t>
  </si>
  <si>
    <t>Shares outstanding</t>
  </si>
  <si>
    <t>Market Cap</t>
  </si>
  <si>
    <t>Cash &amp; cash equivalents</t>
  </si>
  <si>
    <t>Revenues</t>
  </si>
  <si>
    <t>Footwear</t>
  </si>
  <si>
    <t>Apparel</t>
  </si>
  <si>
    <t>Equipment</t>
  </si>
  <si>
    <t>Other</t>
  </si>
  <si>
    <t>% of total region</t>
  </si>
  <si>
    <t>NA Revenue</t>
  </si>
  <si>
    <t>Q125</t>
  </si>
  <si>
    <t>Q225</t>
  </si>
  <si>
    <t>Q325</t>
  </si>
  <si>
    <t>Q425</t>
  </si>
  <si>
    <t>Q126</t>
  </si>
  <si>
    <t>Q226</t>
  </si>
  <si>
    <t>Q326</t>
  </si>
  <si>
    <t>Q426</t>
  </si>
  <si>
    <t>EMEA Revenue</t>
  </si>
  <si>
    <t>China Revenue</t>
  </si>
  <si>
    <t>Converse Revenue</t>
  </si>
  <si>
    <t>q/q</t>
  </si>
  <si>
    <t>y/y</t>
  </si>
  <si>
    <t>% of sales</t>
  </si>
  <si>
    <t>APAC revenue</t>
  </si>
  <si>
    <t>TOTAL NIKE INC REVENUE</t>
  </si>
  <si>
    <t>CAGR</t>
  </si>
  <si>
    <t>EBIT Margin %</t>
  </si>
  <si>
    <t>TOTAL FOOTWARE REVENUE</t>
  </si>
  <si>
    <t>TOTAL EQUIPMENT REVENUE</t>
  </si>
  <si>
    <t>TOTAL APPAREL REVENUE</t>
  </si>
  <si>
    <t>NO REVOLVER BAL</t>
  </si>
  <si>
    <t>+</t>
  </si>
  <si>
    <t>(Inc) / dec in OWC</t>
  </si>
  <si>
    <t>(inc) / Dec in Other LT assets</t>
  </si>
  <si>
    <t>inc / (dec) in Other LT liabilities</t>
  </si>
  <si>
    <t>Operating Cash Flow</t>
  </si>
  <si>
    <t>Investing Cash Flow</t>
  </si>
  <si>
    <t>Dividends Paid</t>
  </si>
  <si>
    <t>Issuance / (repayment) of LT debt</t>
  </si>
  <si>
    <t>Financing Cash flow</t>
  </si>
  <si>
    <t>Net changes in Cash</t>
  </si>
  <si>
    <t>Beg. Balance</t>
  </si>
  <si>
    <t>Changes in cash</t>
  </si>
  <si>
    <t>End. Balance</t>
  </si>
  <si>
    <t>LULU</t>
  </si>
  <si>
    <t>ADS</t>
  </si>
  <si>
    <t>NKE</t>
  </si>
  <si>
    <t>AS</t>
  </si>
  <si>
    <t>DECK</t>
  </si>
  <si>
    <t>Discount Factor</t>
  </si>
  <si>
    <t>FCF</t>
  </si>
  <si>
    <t>Lululemon Athletica Inc.</t>
  </si>
  <si>
    <t>Adidas AG</t>
  </si>
  <si>
    <t>Under Armour, Inc.</t>
  </si>
  <si>
    <t>Deckers Outdoor Corp.</t>
  </si>
  <si>
    <t>UAA</t>
  </si>
  <si>
    <t>Current price - $69.13</t>
  </si>
  <si>
    <t>VFC</t>
  </si>
  <si>
    <t>Implied EV</t>
  </si>
  <si>
    <t>Bull Case</t>
  </si>
  <si>
    <t>Bear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</si>
</sst>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$&quot;#,##0_);\(&quot;$&quot;#,##0\)"/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#,##0.0_);\(#,##0.0\);0.0_);@_)"/>
    <numFmt numFmtId="167" formatCode="#,##0.0_);\(#,##0.0\)"/>
    <numFmt numFmtId="168" formatCode="dd\-mmm\-yy_)"/>
    <numFmt numFmtId="169" formatCode="0.0%_);\(0.0%\)"/>
    <numFmt numFmtId="170" formatCode="#,##0.00_)\x;\(#,##0.00\)\x"/>
    <numFmt numFmtId="171" formatCode="&quot;Yes&quot;;;&quot;No&quot;"/>
    <numFmt numFmtId="172" formatCode="0.00%_);\(0.00%\)"/>
    <numFmt numFmtId="173" formatCode="0.0%"/>
    <numFmt numFmtId="174" formatCode="#,##0.00_);\(#,##0.00\);0.00_);@_)"/>
    <numFmt numFmtId="175" formatCode="yyyy"/>
    <numFmt numFmtId="176" formatCode="#,##0.0_)\x;\(#,##0.0\)\x"/>
    <numFmt numFmtId="177" formatCode="0.0_);\(0.0\)"/>
    <numFmt numFmtId="178" formatCode="0_);\(0\)"/>
    <numFmt numFmtId="179" formatCode="#,##0.0"/>
    <numFmt numFmtId="180" formatCode="&quot;$&quot;#,##0.0_);\(&quot;$&quot;#,##0.0\)"/>
    <numFmt numFmtId="181" formatCode="#,##0.0_)"/>
    <numFmt numFmtId="182" formatCode="&quot;$&quot;#,##0.0"/>
    <numFmt numFmtId="183" formatCode="[$$-409]#,##0.00_);\([$$-409]#,##0.00\)"/>
    <numFmt numFmtId="184" formatCode="&quot;$&quot;#,##0.00"/>
  </numFmts>
  <fonts count="7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  <family val="2"/>
    </font>
    <font>
      <u/>
      <sz val="10"/>
      <color theme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24"/>
      <color rgb="FF006100"/>
      <name val="Arial"/>
      <family val="2"/>
    </font>
    <font>
      <sz val="24"/>
      <color rgb="FF9C0006"/>
      <name val="Arial"/>
      <family val="2"/>
    </font>
    <font>
      <sz val="24"/>
      <color rgb="FF9C6500"/>
      <name val="Arial"/>
      <family val="2"/>
    </font>
    <font>
      <b/>
      <sz val="24"/>
      <color rgb="FF3F3F3F"/>
      <name val="Arial"/>
      <family val="2"/>
    </font>
    <font>
      <b/>
      <sz val="24"/>
      <color rgb="FFFA7D00"/>
      <name val="Arial"/>
      <family val="2"/>
    </font>
    <font>
      <sz val="24"/>
      <color rgb="FFFA7D00"/>
      <name val="Arial"/>
      <family val="2"/>
    </font>
    <font>
      <b/>
      <sz val="24"/>
      <color theme="0"/>
      <name val="Arial"/>
      <family val="2"/>
    </font>
    <font>
      <sz val="24"/>
      <color rgb="FFFF0000"/>
      <name val="Arial"/>
      <family val="2"/>
    </font>
    <font>
      <i/>
      <sz val="24"/>
      <color rgb="FF7F7F7F"/>
      <name val="Arial"/>
      <family val="2"/>
    </font>
    <font>
      <b/>
      <sz val="24"/>
      <color theme="1"/>
      <name val="Arial"/>
      <family val="2"/>
    </font>
    <font>
      <sz val="24"/>
      <color theme="0"/>
      <name val="Arial"/>
      <family val="2"/>
    </font>
    <font>
      <sz val="24"/>
      <color theme="1"/>
      <name val="Arial"/>
      <family val="2"/>
    </font>
    <font>
      <u/>
      <sz val="10"/>
      <color theme="11"/>
      <name val="Arial"/>
      <family val="2"/>
    </font>
    <font>
      <b/>
      <sz val="14"/>
      <color theme="0"/>
      <name val="Calibri"/>
      <family val="2"/>
    </font>
    <font>
      <b/>
      <sz val="11"/>
      <color theme="2"/>
      <name val="Calibri"/>
      <family val="2"/>
      <scheme val="minor"/>
    </font>
    <font>
      <sz val="10"/>
      <color rgb="FF0000FF"/>
      <name val="Arial"/>
      <family val="2"/>
    </font>
    <font>
      <b/>
      <sz val="14"/>
      <color rgb="FF0000FF"/>
      <name val="Calibri"/>
      <family val="2"/>
    </font>
    <font>
      <i/>
      <sz val="10"/>
      <name val="Arial"/>
      <family val="2"/>
    </font>
    <font>
      <sz val="7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027D07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27D07"/>
      <name val="Calibri"/>
      <family val="2"/>
      <scheme val="minor"/>
    </font>
    <font>
      <sz val="11"/>
      <color rgb="FF4472C4"/>
      <name val="Calibri"/>
      <family val="2"/>
      <scheme val="minor"/>
    </font>
    <font>
      <i/>
      <sz val="11"/>
      <color indexed="10"/>
      <name val="Calibri"/>
      <family val="2"/>
      <scheme val="minor"/>
    </font>
    <font>
      <i/>
      <sz val="10"/>
      <color theme="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sz val="11"/>
      <color rgb="FF0500FF"/>
      <name val="Calibri"/>
      <family val="2"/>
      <scheme val="minor"/>
    </font>
    <font>
      <i/>
      <sz val="10"/>
      <color rgb="FF0000FF"/>
      <name val="Arial"/>
      <family val="2"/>
    </font>
    <font>
      <i/>
      <sz val="10"/>
      <color rgb="FF0500FF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10"/>
      <color theme="0"/>
      <name val="Arial"/>
      <family val="2"/>
    </font>
    <font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b/>
      <sz val="11"/>
      <color rgb="FF0000FF"/>
      <name val="Calibri"/>
      <family val="2"/>
      <scheme val="minor"/>
    </font>
    <font>
      <b/>
      <sz val="15"/>
      <color rgb="FF027D07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i/>
      <sz val="11"/>
      <color rgb="FFEA4335"/>
      <name val="Calibri"/>
      <family val="2"/>
      <scheme val="minor"/>
    </font>
    <font>
      <b/>
      <sz val="15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68">
    <xf numFmtId="167" fontId="0" fillId="0" borderId="0"/>
    <xf numFmtId="15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167" fontId="27" fillId="33" borderId="1" applyNumberFormat="0" applyAlignment="0" applyProtection="0"/>
    <xf numFmtId="169" fontId="4" fillId="0" borderId="0" applyFont="0" applyFill="0" applyBorder="0" applyAlignment="0" applyProtection="0"/>
    <xf numFmtId="167" fontId="27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5" applyNumberFormat="0" applyAlignment="0" applyProtection="0"/>
    <xf numFmtId="0" fontId="16" fillId="5" borderId="6" applyNumberFormat="0" applyAlignment="0" applyProtection="0"/>
    <xf numFmtId="0" fontId="17" fillId="0" borderId="7" applyNumberFormat="0" applyFill="0" applyAlignment="0" applyProtection="0"/>
    <xf numFmtId="0" fontId="18" fillId="6" borderId="8" applyNumberFormat="0" applyAlignment="0" applyProtection="0"/>
    <xf numFmtId="0" fontId="19" fillId="0" borderId="0" applyNumberFormat="0" applyFill="0" applyBorder="0" applyAlignment="0" applyProtection="0"/>
    <xf numFmtId="0" fontId="4" fillId="7" borderId="9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22" fillId="31" borderId="0" applyNumberFormat="0" applyBorder="0" applyAlignment="0" applyProtection="0"/>
    <xf numFmtId="166" fontId="2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28" fillId="0" borderId="11" applyNumberFormat="0" applyFill="0" applyAlignment="0" applyProtection="0"/>
    <xf numFmtId="167" fontId="25" fillId="32" borderId="0" applyNumberFormat="0" applyBorder="0" applyProtection="0">
      <alignment horizontal="left" vertical="center"/>
    </xf>
    <xf numFmtId="167" fontId="26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69" fontId="27" fillId="33" borderId="1" applyAlignment="0" applyProtection="0"/>
    <xf numFmtId="166" fontId="5" fillId="0" borderId="0" applyNumberFormat="0" applyFill="0" applyBorder="0" applyAlignment="0" applyProtection="0"/>
    <xf numFmtId="166" fontId="5" fillId="0" borderId="0" applyNumberFormat="0" applyFill="0" applyBorder="0" applyAlignment="0" applyProtection="0"/>
    <xf numFmtId="166" fontId="4" fillId="0" borderId="0">
      <protection locked="0"/>
    </xf>
    <xf numFmtId="166" fontId="30" fillId="0" borderId="0" applyNumberFormat="0" applyFill="0" applyBorder="0" applyProtection="0">
      <alignment vertical="center"/>
      <protection hidden="1"/>
    </xf>
    <xf numFmtId="0" fontId="31" fillId="0" borderId="0"/>
    <xf numFmtId="9" fontId="3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" fillId="0" borderId="0"/>
    <xf numFmtId="167" fontId="41" fillId="32" borderId="0" applyNumberFormat="0" applyBorder="0" applyAlignment="0" applyProtection="0">
      <alignment horizontal="left" vertical="center"/>
    </xf>
    <xf numFmtId="0" fontId="61" fillId="41" borderId="0"/>
    <xf numFmtId="0" fontId="62" fillId="41" borderId="22">
      <alignment horizontal="right"/>
    </xf>
  </cellStyleXfs>
  <cellXfs count="398">
    <xf numFmtId="167" fontId="0" fillId="0" borderId="0" xfId="0"/>
    <xf numFmtId="166" fontId="42" fillId="0" borderId="0" xfId="52" applyNumberFormat="1" applyFont="1" applyFill="1" applyBorder="1" applyAlignment="1">
      <alignment horizontal="center"/>
    </xf>
    <xf numFmtId="167" fontId="42" fillId="0" borderId="0" xfId="0" applyFont="1"/>
    <xf numFmtId="166" fontId="42" fillId="0" borderId="0" xfId="52" applyNumberFormat="1" applyFont="1" applyFill="1" applyBorder="1"/>
    <xf numFmtId="167" fontId="38" fillId="0" borderId="0" xfId="0" applyFont="1"/>
    <xf numFmtId="169" fontId="38" fillId="0" borderId="0" xfId="4" applyFont="1"/>
    <xf numFmtId="167" fontId="43" fillId="0" borderId="0" xfId="0" applyFont="1"/>
    <xf numFmtId="167" fontId="40" fillId="0" borderId="0" xfId="0" applyFont="1"/>
    <xf numFmtId="173" fontId="38" fillId="0" borderId="0" xfId="0" applyNumberFormat="1" applyFont="1"/>
    <xf numFmtId="166" fontId="37" fillId="0" borderId="0" xfId="57" applyFont="1" applyFill="1"/>
    <xf numFmtId="166" fontId="37" fillId="0" borderId="0" xfId="57" applyFont="1"/>
    <xf numFmtId="167" fontId="44" fillId="0" borderId="0" xfId="0" applyFont="1"/>
    <xf numFmtId="173" fontId="44" fillId="0" borderId="0" xfId="0" applyNumberFormat="1" applyFont="1"/>
    <xf numFmtId="167" fontId="37" fillId="0" borderId="0" xfId="0" applyFont="1"/>
    <xf numFmtId="172" fontId="38" fillId="0" borderId="0" xfId="0" applyNumberFormat="1" applyFont="1"/>
    <xf numFmtId="174" fontId="38" fillId="0" borderId="0" xfId="0" applyNumberFormat="1" applyFont="1"/>
    <xf numFmtId="167" fontId="38" fillId="35" borderId="0" xfId="0" applyFont="1" applyFill="1"/>
    <xf numFmtId="166" fontId="32" fillId="35" borderId="0" xfId="54" applyNumberFormat="1" applyFont="1" applyFill="1"/>
    <xf numFmtId="167" fontId="44" fillId="0" borderId="12" xfId="0" applyFont="1" applyBorder="1"/>
    <xf numFmtId="167" fontId="44" fillId="0" borderId="13" xfId="0" applyFont="1" applyBorder="1"/>
    <xf numFmtId="167" fontId="44" fillId="0" borderId="14" xfId="0" applyFont="1" applyBorder="1"/>
    <xf numFmtId="167" fontId="38" fillId="34" borderId="0" xfId="0" applyFont="1" applyFill="1"/>
    <xf numFmtId="166" fontId="32" fillId="34" borderId="0" xfId="54" applyNumberFormat="1" applyFont="1" applyFill="1"/>
    <xf numFmtId="167" fontId="38" fillId="0" borderId="13" xfId="0" applyFont="1" applyBorder="1"/>
    <xf numFmtId="166" fontId="37" fillId="0" borderId="18" xfId="57" applyFont="1" applyBorder="1"/>
    <xf numFmtId="169" fontId="38" fillId="0" borderId="18" xfId="4" applyFont="1" applyBorder="1"/>
    <xf numFmtId="167" fontId="44" fillId="0" borderId="18" xfId="0" applyFont="1" applyBorder="1"/>
    <xf numFmtId="166" fontId="37" fillId="0" borderId="18" xfId="58" applyFont="1" applyBorder="1"/>
    <xf numFmtId="173" fontId="38" fillId="0" borderId="18" xfId="0" applyNumberFormat="1" applyFont="1" applyBorder="1"/>
    <xf numFmtId="167" fontId="38" fillId="0" borderId="18" xfId="0" applyFont="1" applyBorder="1"/>
    <xf numFmtId="169" fontId="38" fillId="0" borderId="18" xfId="4" applyFont="1" applyFill="1" applyBorder="1"/>
    <xf numFmtId="173" fontId="29" fillId="0" borderId="0" xfId="0" applyNumberFormat="1" applyFont="1"/>
    <xf numFmtId="167" fontId="39" fillId="0" borderId="0" xfId="0" applyFont="1"/>
    <xf numFmtId="169" fontId="39" fillId="0" borderId="0" xfId="4" applyFont="1"/>
    <xf numFmtId="169" fontId="39" fillId="0" borderId="18" xfId="4" applyFont="1" applyBorder="1"/>
    <xf numFmtId="167" fontId="45" fillId="0" borderId="0" xfId="0" applyFont="1"/>
    <xf numFmtId="167" fontId="44" fillId="0" borderId="15" xfId="0" applyFont="1" applyBorder="1"/>
    <xf numFmtId="167" fontId="44" fillId="0" borderId="16" xfId="0" applyFont="1" applyBorder="1"/>
    <xf numFmtId="173" fontId="38" fillId="0" borderId="16" xfId="0" applyNumberFormat="1" applyFont="1" applyBorder="1"/>
    <xf numFmtId="167" fontId="38" fillId="0" borderId="16" xfId="0" applyFont="1" applyBorder="1"/>
    <xf numFmtId="174" fontId="38" fillId="0" borderId="15" xfId="0" applyNumberFormat="1" applyFont="1" applyBorder="1"/>
    <xf numFmtId="167" fontId="39" fillId="0" borderId="18" xfId="0" applyFont="1" applyBorder="1"/>
    <xf numFmtId="173" fontId="29" fillId="0" borderId="18" xfId="0" applyNumberFormat="1" applyFont="1" applyBorder="1"/>
    <xf numFmtId="166" fontId="33" fillId="0" borderId="0" xfId="52" applyNumberFormat="1" applyFont="1" applyFill="1" applyBorder="1" applyAlignment="1">
      <alignment horizontal="right"/>
    </xf>
    <xf numFmtId="167" fontId="34" fillId="34" borderId="0" xfId="0" applyFont="1" applyFill="1"/>
    <xf numFmtId="173" fontId="39" fillId="0" borderId="0" xfId="0" applyNumberFormat="1" applyFont="1"/>
    <xf numFmtId="173" fontId="39" fillId="0" borderId="18" xfId="0" applyNumberFormat="1" applyFont="1" applyBorder="1"/>
    <xf numFmtId="166" fontId="37" fillId="0" borderId="18" xfId="57" applyFont="1" applyFill="1" applyBorder="1"/>
    <xf numFmtId="167" fontId="44" fillId="0" borderId="0" xfId="0" applyFont="1" applyAlignment="1">
      <alignment horizontal="right"/>
    </xf>
    <xf numFmtId="10" fontId="38" fillId="0" borderId="0" xfId="0" applyNumberFormat="1" applyFont="1"/>
    <xf numFmtId="172" fontId="38" fillId="0" borderId="0" xfId="4" applyNumberFormat="1" applyFont="1"/>
    <xf numFmtId="167" fontId="46" fillId="0" borderId="0" xfId="0" applyFont="1"/>
    <xf numFmtId="37" fontId="42" fillId="0" borderId="0" xfId="0" applyNumberFormat="1" applyFont="1" applyAlignment="1">
      <alignment horizontal="center"/>
    </xf>
    <xf numFmtId="167" fontId="36" fillId="33" borderId="1" xfId="3" applyFont="1" applyAlignment="1">
      <alignment horizontal="center"/>
    </xf>
    <xf numFmtId="168" fontId="36" fillId="33" borderId="1" xfId="3" applyNumberFormat="1" applyFont="1" applyAlignment="1">
      <alignment horizontal="center"/>
    </xf>
    <xf numFmtId="166" fontId="33" fillId="0" borderId="0" xfId="52" applyNumberFormat="1" applyFont="1" applyFill="1" applyBorder="1" applyAlignment="1">
      <alignment horizontal="center"/>
    </xf>
    <xf numFmtId="167" fontId="47" fillId="34" borderId="0" xfId="0" applyFont="1" applyFill="1"/>
    <xf numFmtId="169" fontId="39" fillId="0" borderId="0" xfId="57" applyNumberFormat="1" applyFont="1" applyFill="1" applyBorder="1"/>
    <xf numFmtId="167" fontId="38" fillId="0" borderId="17" xfId="0" applyFont="1" applyBorder="1"/>
    <xf numFmtId="169" fontId="39" fillId="0" borderId="18" xfId="57" applyNumberFormat="1" applyFont="1" applyFill="1" applyBorder="1"/>
    <xf numFmtId="167" fontId="38" fillId="0" borderId="18" xfId="0" applyFont="1" applyBorder="1" applyAlignment="1">
      <alignment horizontal="right"/>
    </xf>
    <xf numFmtId="167" fontId="34" fillId="35" borderId="0" xfId="0" applyFont="1" applyFill="1"/>
    <xf numFmtId="167" fontId="32" fillId="35" borderId="0" xfId="53" applyFont="1" applyFill="1">
      <alignment horizontal="left" vertical="center"/>
    </xf>
    <xf numFmtId="167" fontId="38" fillId="0" borderId="15" xfId="0" applyFont="1" applyBorder="1"/>
    <xf numFmtId="167" fontId="38" fillId="36" borderId="0" xfId="0" applyFont="1" applyFill="1"/>
    <xf numFmtId="167" fontId="38" fillId="37" borderId="15" xfId="0" applyFont="1" applyFill="1" applyBorder="1"/>
    <xf numFmtId="167" fontId="38" fillId="37" borderId="0" xfId="0" applyFont="1" applyFill="1"/>
    <xf numFmtId="167" fontId="38" fillId="38" borderId="15" xfId="0" applyFont="1" applyFill="1" applyBorder="1"/>
    <xf numFmtId="167" fontId="38" fillId="38" borderId="0" xfId="0" applyFont="1" applyFill="1"/>
    <xf numFmtId="167" fontId="38" fillId="36" borderId="18" xfId="0" applyFont="1" applyFill="1" applyBorder="1"/>
    <xf numFmtId="167" fontId="38" fillId="37" borderId="16" xfId="0" applyFont="1" applyFill="1" applyBorder="1"/>
    <xf numFmtId="167" fontId="38" fillId="37" borderId="18" xfId="0" applyFont="1" applyFill="1" applyBorder="1"/>
    <xf numFmtId="167" fontId="38" fillId="38" borderId="16" xfId="0" applyFont="1" applyFill="1" applyBorder="1"/>
    <xf numFmtId="167" fontId="38" fillId="38" borderId="18" xfId="0" applyFont="1" applyFill="1" applyBorder="1"/>
    <xf numFmtId="167" fontId="32" fillId="34" borderId="0" xfId="0" applyFont="1" applyFill="1"/>
    <xf numFmtId="167" fontId="38" fillId="0" borderId="20" xfId="0" applyFont="1" applyBorder="1"/>
    <xf numFmtId="167" fontId="38" fillId="39" borderId="19" xfId="0" applyFont="1" applyFill="1" applyBorder="1"/>
    <xf numFmtId="167" fontId="38" fillId="39" borderId="16" xfId="0" applyFont="1" applyFill="1" applyBorder="1"/>
    <xf numFmtId="167" fontId="38" fillId="39" borderId="1" xfId="0" applyFont="1" applyFill="1" applyBorder="1"/>
    <xf numFmtId="167" fontId="38" fillId="39" borderId="14" xfId="0" applyFont="1" applyFill="1" applyBorder="1"/>
    <xf numFmtId="167" fontId="43" fillId="0" borderId="15" xfId="0" applyFont="1" applyBorder="1"/>
    <xf numFmtId="176" fontId="38" fillId="0" borderId="0" xfId="0" applyNumberFormat="1" applyFont="1"/>
    <xf numFmtId="167" fontId="34" fillId="0" borderId="0" xfId="0" applyFont="1"/>
    <xf numFmtId="166" fontId="32" fillId="0" borderId="0" xfId="54" applyNumberFormat="1" applyFont="1" applyFill="1"/>
    <xf numFmtId="166" fontId="49" fillId="0" borderId="0" xfId="54" applyNumberFormat="1" applyFont="1" applyProtection="1"/>
    <xf numFmtId="173" fontId="4" fillId="0" borderId="0" xfId="0" applyNumberFormat="1" applyFont="1"/>
    <xf numFmtId="167" fontId="50" fillId="0" borderId="0" xfId="0" applyFont="1"/>
    <xf numFmtId="167" fontId="4" fillId="0" borderId="0" xfId="0" applyFont="1"/>
    <xf numFmtId="167" fontId="4" fillId="0" borderId="0" xfId="0" applyFont="1" applyProtection="1">
      <protection locked="0"/>
    </xf>
    <xf numFmtId="169" fontId="4" fillId="0" borderId="0" xfId="4" applyFont="1"/>
    <xf numFmtId="166" fontId="52" fillId="0" borderId="0" xfId="54" applyNumberFormat="1" applyFont="1" applyProtection="1"/>
    <xf numFmtId="169" fontId="27" fillId="0" borderId="0" xfId="3" applyNumberFormat="1" applyFill="1" applyBorder="1"/>
    <xf numFmtId="167" fontId="53" fillId="0" borderId="0" xfId="0" applyFont="1"/>
    <xf numFmtId="167" fontId="53" fillId="0" borderId="18" xfId="0" applyFont="1" applyBorder="1"/>
    <xf numFmtId="167" fontId="36" fillId="0" borderId="0" xfId="0" applyFont="1"/>
    <xf numFmtId="167" fontId="36" fillId="0" borderId="18" xfId="0" applyFont="1" applyBorder="1"/>
    <xf numFmtId="169" fontId="38" fillId="0" borderId="0" xfId="4" applyFont="1" applyFill="1"/>
    <xf numFmtId="169" fontId="54" fillId="33" borderId="1" xfId="3" applyNumberFormat="1" applyFont="1"/>
    <xf numFmtId="167" fontId="54" fillId="33" borderId="1" xfId="3" applyNumberFormat="1" applyFont="1"/>
    <xf numFmtId="169" fontId="54" fillId="33" borderId="14" xfId="3" applyNumberFormat="1" applyFont="1" applyBorder="1"/>
    <xf numFmtId="169" fontId="54" fillId="0" borderId="15" xfId="3" applyNumberFormat="1" applyFont="1" applyFill="1" applyBorder="1"/>
    <xf numFmtId="173" fontId="29" fillId="36" borderId="14" xfId="0" applyNumberFormat="1" applyFont="1" applyFill="1" applyBorder="1"/>
    <xf numFmtId="177" fontId="54" fillId="33" borderId="1" xfId="3" applyNumberFormat="1" applyFont="1"/>
    <xf numFmtId="167" fontId="32" fillId="35" borderId="0" xfId="0" applyFont="1" applyFill="1"/>
    <xf numFmtId="166" fontId="33" fillId="0" borderId="15" xfId="52" applyNumberFormat="1" applyFont="1" applyFill="1" applyBorder="1" applyAlignment="1">
      <alignment horizontal="center"/>
    </xf>
    <xf numFmtId="167" fontId="39" fillId="0" borderId="13" xfId="0" applyFont="1" applyBorder="1"/>
    <xf numFmtId="167" fontId="48" fillId="0" borderId="13" xfId="0" applyFont="1" applyBorder="1"/>
    <xf numFmtId="167" fontId="51" fillId="0" borderId="0" xfId="0" applyFont="1" applyAlignment="1">
      <alignment horizontal="right"/>
    </xf>
    <xf numFmtId="167" fontId="32" fillId="34" borderId="17" xfId="0" applyFont="1" applyFill="1" applyBorder="1"/>
    <xf numFmtId="166" fontId="32" fillId="34" borderId="15" xfId="54" applyNumberFormat="1" applyFont="1" applyFill="1" applyBorder="1" applyProtection="1"/>
    <xf numFmtId="166" fontId="38" fillId="0" borderId="0" xfId="59" applyFont="1" applyProtection="1"/>
    <xf numFmtId="172" fontId="36" fillId="33" borderId="1" xfId="3" applyNumberFormat="1" applyFont="1" applyProtection="1"/>
    <xf numFmtId="166" fontId="2" fillId="0" borderId="0" xfId="54" applyNumberFormat="1" applyFont="1" applyProtection="1"/>
    <xf numFmtId="169" fontId="38" fillId="0" borderId="15" xfId="4" applyFont="1" applyBorder="1"/>
    <xf numFmtId="169" fontId="38" fillId="0" borderId="16" xfId="4" applyFont="1" applyBorder="1"/>
    <xf numFmtId="166" fontId="58" fillId="34" borderId="15" xfId="59" applyFont="1" applyFill="1" applyBorder="1" applyProtection="1"/>
    <xf numFmtId="10" fontId="39" fillId="0" borderId="0" xfId="0" applyNumberFormat="1" applyFont="1"/>
    <xf numFmtId="10" fontId="27" fillId="0" borderId="0" xfId="3" applyNumberFormat="1" applyFill="1" applyBorder="1"/>
    <xf numFmtId="166" fontId="37" fillId="0" borderId="0" xfId="57" applyFont="1" applyBorder="1"/>
    <xf numFmtId="166" fontId="37" fillId="0" borderId="0" xfId="58" applyFont="1" applyBorder="1"/>
    <xf numFmtId="167" fontId="36" fillId="0" borderId="17" xfId="0" applyFont="1" applyBorder="1"/>
    <xf numFmtId="169" fontId="54" fillId="33" borderId="19" xfId="3" applyNumberFormat="1" applyFont="1" applyBorder="1"/>
    <xf numFmtId="179" fontId="44" fillId="0" borderId="0" xfId="0" applyNumberFormat="1" applyFont="1"/>
    <xf numFmtId="179" fontId="44" fillId="0" borderId="12" xfId="0" applyNumberFormat="1" applyFont="1" applyBorder="1"/>
    <xf numFmtId="179" fontId="44" fillId="0" borderId="13" xfId="0" applyNumberFormat="1" applyFont="1" applyBorder="1"/>
    <xf numFmtId="179" fontId="38" fillId="0" borderId="0" xfId="0" applyNumberFormat="1" applyFont="1"/>
    <xf numFmtId="167" fontId="38" fillId="0" borderId="15" xfId="4" applyNumberFormat="1" applyFont="1" applyBorder="1"/>
    <xf numFmtId="179" fontId="38" fillId="0" borderId="15" xfId="4" applyNumberFormat="1" applyFont="1" applyBorder="1"/>
    <xf numFmtId="179" fontId="38" fillId="0" borderId="0" xfId="4" applyNumberFormat="1" applyFont="1"/>
    <xf numFmtId="179" fontId="38" fillId="0" borderId="0" xfId="0" applyNumberFormat="1" applyFont="1" applyAlignment="1">
      <alignment horizontal="right"/>
    </xf>
    <xf numFmtId="173" fontId="38" fillId="36" borderId="19" xfId="0" applyNumberFormat="1" applyFont="1" applyFill="1" applyBorder="1"/>
    <xf numFmtId="37" fontId="32" fillId="34" borderId="18" xfId="0" applyNumberFormat="1" applyFont="1" applyFill="1" applyBorder="1" applyAlignment="1">
      <alignment horizontal="right"/>
    </xf>
    <xf numFmtId="39" fontId="38" fillId="39" borderId="19" xfId="0" applyNumberFormat="1" applyFont="1" applyFill="1" applyBorder="1"/>
    <xf numFmtId="39" fontId="38" fillId="39" borderId="1" xfId="0" applyNumberFormat="1" applyFont="1" applyFill="1" applyBorder="1"/>
    <xf numFmtId="10" fontId="38" fillId="0" borderId="21" xfId="0" applyNumberFormat="1" applyFont="1" applyBorder="1"/>
    <xf numFmtId="39" fontId="38" fillId="0" borderId="0" xfId="0" applyNumberFormat="1" applyFont="1"/>
    <xf numFmtId="173" fontId="38" fillId="37" borderId="16" xfId="0" applyNumberFormat="1" applyFont="1" applyFill="1" applyBorder="1"/>
    <xf numFmtId="173" fontId="38" fillId="37" borderId="1" xfId="0" applyNumberFormat="1" applyFont="1" applyFill="1" applyBorder="1"/>
    <xf numFmtId="173" fontId="38" fillId="38" borderId="19" xfId="0" applyNumberFormat="1" applyFont="1" applyFill="1" applyBorder="1"/>
    <xf numFmtId="167" fontId="38" fillId="0" borderId="0" xfId="0" applyFont="1" applyAlignment="1">
      <alignment horizontal="right"/>
    </xf>
    <xf numFmtId="10" fontId="34" fillId="34" borderId="1" xfId="0" applyNumberFormat="1" applyFont="1" applyFill="1" applyBorder="1"/>
    <xf numFmtId="7" fontId="44" fillId="0" borderId="18" xfId="0" applyNumberFormat="1" applyFont="1" applyBorder="1"/>
    <xf numFmtId="172" fontId="36" fillId="33" borderId="19" xfId="3" applyNumberFormat="1" applyFont="1" applyBorder="1" applyProtection="1"/>
    <xf numFmtId="166" fontId="38" fillId="35" borderId="0" xfId="59" applyFont="1" applyFill="1" applyProtection="1"/>
    <xf numFmtId="172" fontId="36" fillId="35" borderId="0" xfId="3" applyNumberFormat="1" applyFont="1" applyFill="1" applyBorder="1" applyProtection="1"/>
    <xf numFmtId="166" fontId="32" fillId="35" borderId="0" xfId="59" applyFont="1" applyFill="1" applyProtection="1"/>
    <xf numFmtId="179" fontId="39" fillId="0" borderId="18" xfId="0" applyNumberFormat="1" applyFont="1" applyBorder="1"/>
    <xf numFmtId="167" fontId="44" fillId="0" borderId="18" xfId="0" applyFont="1" applyBorder="1" applyAlignment="1">
      <alignment horizontal="right"/>
    </xf>
    <xf numFmtId="173" fontId="38" fillId="39" borderId="19" xfId="0" applyNumberFormat="1" applyFont="1" applyFill="1" applyBorder="1"/>
    <xf numFmtId="167" fontId="64" fillId="0" borderId="0" xfId="0" applyFont="1"/>
    <xf numFmtId="167" fontId="36" fillId="33" borderId="19" xfId="3" applyNumberFormat="1" applyFont="1" applyBorder="1" applyProtection="1"/>
    <xf numFmtId="167" fontId="38" fillId="0" borderId="21" xfId="0" applyFont="1" applyBorder="1"/>
    <xf numFmtId="167" fontId="38" fillId="35" borderId="15" xfId="0" applyFont="1" applyFill="1" applyBorder="1"/>
    <xf numFmtId="180" fontId="44" fillId="0" borderId="14" xfId="0" applyNumberFormat="1" applyFont="1" applyBorder="1"/>
    <xf numFmtId="173" fontId="34" fillId="34" borderId="1" xfId="0" applyNumberFormat="1" applyFont="1" applyFill="1" applyBorder="1"/>
    <xf numFmtId="167" fontId="32" fillId="0" borderId="0" xfId="0" applyFont="1"/>
    <xf numFmtId="167" fontId="36" fillId="33" borderId="1" xfId="3" applyNumberFormat="1" applyFont="1" applyAlignment="1">
      <alignment horizontal="center"/>
    </xf>
    <xf numFmtId="167" fontId="38" fillId="38" borderId="20" xfId="0" applyFont="1" applyFill="1" applyBorder="1"/>
    <xf numFmtId="167" fontId="32" fillId="34" borderId="20" xfId="0" applyFont="1" applyFill="1" applyBorder="1"/>
    <xf numFmtId="167" fontId="32" fillId="34" borderId="15" xfId="0" applyFont="1" applyFill="1" applyBorder="1"/>
    <xf numFmtId="167" fontId="32" fillId="34" borderId="16" xfId="0" applyFont="1" applyFill="1" applyBorder="1"/>
    <xf numFmtId="167" fontId="38" fillId="0" borderId="14" xfId="4" applyNumberFormat="1" applyFont="1" applyBorder="1"/>
    <xf numFmtId="10" fontId="34" fillId="0" borderId="0" xfId="0" applyNumberFormat="1" applyFont="1"/>
    <xf numFmtId="176" fontId="36" fillId="0" borderId="15" xfId="3" applyNumberFormat="1" applyFont="1" applyFill="1" applyBorder="1" applyProtection="1"/>
    <xf numFmtId="172" fontId="36" fillId="0" borderId="15" xfId="3" applyNumberFormat="1" applyFont="1" applyFill="1" applyBorder="1" applyProtection="1"/>
    <xf numFmtId="176" fontId="34" fillId="0" borderId="0" xfId="0" applyNumberFormat="1" applyFont="1"/>
    <xf numFmtId="167" fontId="38" fillId="0" borderId="0" xfId="0" applyFont="1" applyAlignment="1">
      <alignment horizontal="center"/>
    </xf>
    <xf numFmtId="169" fontId="54" fillId="0" borderId="0" xfId="3" applyNumberFormat="1" applyFont="1" applyFill="1" applyBorder="1"/>
    <xf numFmtId="169" fontId="38" fillId="0" borderId="0" xfId="4" applyFont="1" applyFill="1" applyBorder="1"/>
    <xf numFmtId="166" fontId="1" fillId="0" borderId="0" xfId="57" applyFont="1" applyBorder="1"/>
    <xf numFmtId="166" fontId="1" fillId="0" borderId="0" xfId="57" applyFont="1"/>
    <xf numFmtId="169" fontId="65" fillId="33" borderId="1" xfId="3" applyNumberFormat="1" applyFont="1"/>
    <xf numFmtId="177" fontId="65" fillId="33" borderId="1" xfId="3" applyNumberFormat="1" applyFont="1"/>
    <xf numFmtId="167" fontId="65" fillId="33" borderId="1" xfId="3" applyNumberFormat="1" applyFont="1"/>
    <xf numFmtId="37" fontId="32" fillId="34" borderId="0" xfId="52" applyNumberFormat="1" applyFont="1" applyFill="1" applyBorder="1"/>
    <xf numFmtId="166" fontId="32" fillId="34" borderId="0" xfId="52" applyNumberFormat="1" applyFont="1" applyFill="1" applyBorder="1"/>
    <xf numFmtId="174" fontId="44" fillId="0" borderId="13" xfId="0" applyNumberFormat="1" applyFont="1" applyBorder="1"/>
    <xf numFmtId="39" fontId="37" fillId="0" borderId="0" xfId="57" applyNumberFormat="1" applyFont="1" applyBorder="1"/>
    <xf numFmtId="39" fontId="37" fillId="0" borderId="18" xfId="57" applyNumberFormat="1" applyFont="1" applyBorder="1"/>
    <xf numFmtId="173" fontId="65" fillId="33" borderId="1" xfId="3" applyNumberFormat="1" applyFont="1"/>
    <xf numFmtId="166" fontId="37" fillId="0" borderId="0" xfId="57" applyFont="1" applyFill="1" applyBorder="1"/>
    <xf numFmtId="0" fontId="32" fillId="34" borderId="0" xfId="52" applyNumberFormat="1" applyFont="1" applyFill="1" applyBorder="1" applyAlignment="1">
      <alignment horizontal="right" vertical="center"/>
    </xf>
    <xf numFmtId="166" fontId="36" fillId="0" borderId="0" xfId="0" applyNumberFormat="1" applyFont="1"/>
    <xf numFmtId="166" fontId="36" fillId="0" borderId="18" xfId="0" applyNumberFormat="1" applyFont="1" applyBorder="1"/>
    <xf numFmtId="166" fontId="36" fillId="0" borderId="0" xfId="57" applyFont="1" applyFill="1"/>
    <xf numFmtId="166" fontId="36" fillId="0" borderId="18" xfId="57" applyFont="1" applyFill="1" applyBorder="1"/>
    <xf numFmtId="166" fontId="1" fillId="0" borderId="0" xfId="57" applyFont="1" applyFill="1"/>
    <xf numFmtId="9" fontId="38" fillId="0" borderId="0" xfId="0" applyNumberFormat="1" applyFont="1"/>
    <xf numFmtId="9" fontId="29" fillId="0" borderId="18" xfId="0" applyNumberFormat="1" applyFont="1" applyBorder="1"/>
    <xf numFmtId="173" fontId="37" fillId="0" borderId="0" xfId="57" applyNumberFormat="1" applyFont="1" applyBorder="1"/>
    <xf numFmtId="173" fontId="37" fillId="0" borderId="18" xfId="57" applyNumberFormat="1" applyFont="1" applyBorder="1"/>
    <xf numFmtId="3" fontId="38" fillId="0" borderId="0" xfId="0" applyNumberFormat="1" applyFont="1"/>
    <xf numFmtId="3" fontId="38" fillId="0" borderId="15" xfId="0" applyNumberFormat="1" applyFont="1" applyBorder="1"/>
    <xf numFmtId="178" fontId="32" fillId="34" borderId="0" xfId="0" applyNumberFormat="1" applyFont="1" applyFill="1"/>
    <xf numFmtId="175" fontId="32" fillId="0" borderId="0" xfId="52" applyNumberFormat="1" applyFont="1" applyFill="1" applyBorder="1" applyAlignment="1">
      <alignment horizontal="right" vertical="center"/>
    </xf>
    <xf numFmtId="167" fontId="44" fillId="35" borderId="0" xfId="0" applyFont="1" applyFill="1"/>
    <xf numFmtId="175" fontId="32" fillId="0" borderId="0" xfId="0" applyNumberFormat="1" applyFont="1"/>
    <xf numFmtId="167" fontId="54" fillId="0" borderId="0" xfId="3" applyNumberFormat="1" applyFont="1" applyFill="1" applyBorder="1"/>
    <xf numFmtId="175" fontId="57" fillId="0" borderId="0" xfId="3" applyNumberFormat="1" applyFont="1" applyFill="1" applyBorder="1"/>
    <xf numFmtId="0" fontId="57" fillId="0" borderId="0" xfId="3" applyNumberFormat="1" applyFont="1" applyFill="1" applyBorder="1"/>
    <xf numFmtId="177" fontId="54" fillId="0" borderId="0" xfId="3" applyNumberFormat="1" applyFont="1" applyFill="1" applyBorder="1"/>
    <xf numFmtId="173" fontId="54" fillId="0" borderId="0" xfId="0" applyNumberFormat="1" applyFont="1"/>
    <xf numFmtId="167" fontId="55" fillId="0" borderId="0" xfId="0" applyFont="1"/>
    <xf numFmtId="173" fontId="54" fillId="40" borderId="1" xfId="0" applyNumberFormat="1" applyFont="1" applyFill="1" applyBorder="1"/>
    <xf numFmtId="0" fontId="32" fillId="0" borderId="0" xfId="0" applyNumberFormat="1" applyFont="1"/>
    <xf numFmtId="167" fontId="48" fillId="0" borderId="0" xfId="0" applyFont="1"/>
    <xf numFmtId="167" fontId="29" fillId="0" borderId="0" xfId="0" applyFont="1"/>
    <xf numFmtId="0" fontId="32" fillId="0" borderId="0" xfId="52" applyNumberFormat="1" applyFont="1" applyFill="1" applyBorder="1" applyAlignment="1">
      <alignment horizontal="right" vertical="center"/>
    </xf>
    <xf numFmtId="166" fontId="1" fillId="0" borderId="0" xfId="57" applyFont="1" applyFill="1" applyBorder="1"/>
    <xf numFmtId="169" fontId="65" fillId="0" borderId="0" xfId="3" applyNumberFormat="1" applyFont="1" applyFill="1" applyBorder="1"/>
    <xf numFmtId="177" fontId="65" fillId="0" borderId="0" xfId="3" applyNumberFormat="1" applyFont="1" applyFill="1" applyBorder="1"/>
    <xf numFmtId="167" fontId="65" fillId="0" borderId="0" xfId="3" applyNumberFormat="1" applyFont="1" applyFill="1" applyBorder="1"/>
    <xf numFmtId="173" fontId="65" fillId="0" borderId="0" xfId="3" applyNumberFormat="1" applyFont="1" applyFill="1" applyBorder="1"/>
    <xf numFmtId="174" fontId="44" fillId="0" borderId="0" xfId="0" applyNumberFormat="1" applyFont="1"/>
    <xf numFmtId="0" fontId="32" fillId="0" borderId="0" xfId="0" applyNumberFormat="1" applyFont="1" applyAlignment="1">
      <alignment horizontal="right"/>
    </xf>
    <xf numFmtId="179" fontId="38" fillId="0" borderId="0" xfId="4" applyNumberFormat="1" applyFont="1" applyFill="1" applyBorder="1"/>
    <xf numFmtId="167" fontId="38" fillId="0" borderId="0" xfId="4" applyNumberFormat="1" applyFont="1" applyFill="1" applyBorder="1"/>
    <xf numFmtId="166" fontId="58" fillId="0" borderId="0" xfId="59" applyFont="1" applyProtection="1"/>
    <xf numFmtId="166" fontId="1" fillId="0" borderId="17" xfId="57" applyFont="1" applyFill="1" applyBorder="1"/>
    <xf numFmtId="39" fontId="38" fillId="0" borderId="1" xfId="0" applyNumberFormat="1" applyFont="1" applyBorder="1"/>
    <xf numFmtId="2" fontId="38" fillId="36" borderId="19" xfId="0" applyNumberFormat="1" applyFont="1" applyFill="1" applyBorder="1"/>
    <xf numFmtId="176" fontId="38" fillId="0" borderId="15" xfId="0" applyNumberFormat="1" applyFont="1" applyBorder="1"/>
    <xf numFmtId="167" fontId="38" fillId="42" borderId="15" xfId="0" applyFont="1" applyFill="1" applyBorder="1"/>
    <xf numFmtId="167" fontId="38" fillId="0" borderId="15" xfId="0" applyFont="1" applyBorder="1" applyAlignment="1">
      <alignment horizontal="right"/>
    </xf>
    <xf numFmtId="181" fontId="38" fillId="0" borderId="15" xfId="0" applyNumberFormat="1" applyFont="1" applyBorder="1"/>
    <xf numFmtId="0" fontId="32" fillId="35" borderId="0" xfId="66" applyFont="1" applyFill="1" applyAlignment="1">
      <alignment horizontal="center" wrapText="1"/>
    </xf>
    <xf numFmtId="0" fontId="32" fillId="35" borderId="0" xfId="66" applyFont="1" applyFill="1" applyAlignment="1">
      <alignment horizontal="center"/>
    </xf>
    <xf numFmtId="167" fontId="32" fillId="35" borderId="0" xfId="0" applyFont="1" applyFill="1" applyAlignment="1">
      <alignment horizontal="center" wrapText="1"/>
    </xf>
    <xf numFmtId="182" fontId="38" fillId="42" borderId="15" xfId="0" applyNumberFormat="1" applyFont="1" applyFill="1" applyBorder="1"/>
    <xf numFmtId="182" fontId="38" fillId="0" borderId="15" xfId="0" applyNumberFormat="1" applyFont="1" applyBorder="1"/>
    <xf numFmtId="3" fontId="38" fillId="42" borderId="15" xfId="0" applyNumberFormat="1" applyFont="1" applyFill="1" applyBorder="1"/>
    <xf numFmtId="173" fontId="38" fillId="0" borderId="15" xfId="0" applyNumberFormat="1" applyFont="1" applyBorder="1"/>
    <xf numFmtId="10" fontId="38" fillId="0" borderId="0" xfId="4" applyNumberFormat="1" applyFont="1" applyFill="1" applyBorder="1" applyAlignment="1" applyProtection="1">
      <alignment horizontal="right"/>
    </xf>
    <xf numFmtId="183" fontId="36" fillId="33" borderId="1" xfId="3" applyNumberFormat="1" applyFont="1" applyAlignment="1">
      <alignment horizontal="center"/>
    </xf>
    <xf numFmtId="167" fontId="32" fillId="0" borderId="0" xfId="53" applyFont="1" applyFill="1">
      <alignment horizontal="left" vertical="center"/>
    </xf>
    <xf numFmtId="10" fontId="66" fillId="33" borderId="1" xfId="3" applyNumberFormat="1" applyFont="1" applyAlignment="1">
      <alignment horizontal="center"/>
    </xf>
    <xf numFmtId="176" fontId="38" fillId="0" borderId="0" xfId="0" applyNumberFormat="1" applyFont="1" applyAlignment="1">
      <alignment horizontal="center"/>
    </xf>
    <xf numFmtId="10" fontId="38" fillId="0" borderId="0" xfId="0" applyNumberFormat="1" applyFont="1" applyAlignment="1">
      <alignment horizontal="center"/>
    </xf>
    <xf numFmtId="5" fontId="38" fillId="0" borderId="0" xfId="0" applyNumberFormat="1" applyFont="1" applyAlignment="1">
      <alignment horizontal="center"/>
    </xf>
    <xf numFmtId="173" fontId="38" fillId="0" borderId="0" xfId="0" applyNumberFormat="1" applyFont="1" applyAlignment="1">
      <alignment horizontal="center"/>
    </xf>
    <xf numFmtId="184" fontId="63" fillId="33" borderId="14" xfId="3" applyNumberFormat="1" applyFont="1" applyBorder="1" applyAlignment="1">
      <alignment horizontal="center"/>
    </xf>
    <xf numFmtId="184" fontId="63" fillId="33" borderId="1" xfId="3" applyNumberFormat="1" applyFont="1" applyAlignment="1">
      <alignment horizontal="center"/>
    </xf>
    <xf numFmtId="1" fontId="27" fillId="0" borderId="0" xfId="0" applyNumberFormat="1" applyFont="1"/>
    <xf numFmtId="166" fontId="4" fillId="0" borderId="0" xfId="0" applyNumberFormat="1" applyFont="1" applyAlignment="1">
      <alignment horizontal="right"/>
    </xf>
    <xf numFmtId="173" fontId="27" fillId="0" borderId="0" xfId="0" applyNumberFormat="1" applyFont="1"/>
    <xf numFmtId="175" fontId="4" fillId="0" borderId="0" xfId="0" applyNumberFormat="1" applyFont="1"/>
    <xf numFmtId="169" fontId="36" fillId="0" borderId="0" xfId="0" applyNumberFormat="1" applyFont="1"/>
    <xf numFmtId="1" fontId="32" fillId="34" borderId="0" xfId="0" applyNumberFormat="1" applyFont="1" applyFill="1"/>
    <xf numFmtId="167" fontId="44" fillId="0" borderId="17" xfId="0" applyFont="1" applyBorder="1"/>
    <xf numFmtId="166" fontId="38" fillId="0" borderId="0" xfId="59" applyFont="1" applyAlignment="1" applyProtection="1">
      <alignment horizontal="centerContinuous"/>
    </xf>
    <xf numFmtId="166" fontId="38" fillId="0" borderId="0" xfId="59" applyFont="1" applyAlignment="1" applyProtection="1">
      <alignment horizontal="center"/>
    </xf>
    <xf numFmtId="10" fontId="32" fillId="0" borderId="0" xfId="0" applyNumberFormat="1" applyFont="1"/>
    <xf numFmtId="10" fontId="38" fillId="0" borderId="0" xfId="59" applyNumberFormat="1" applyFont="1" applyAlignment="1" applyProtection="1">
      <alignment horizontal="center"/>
    </xf>
    <xf numFmtId="10" fontId="38" fillId="0" borderId="0" xfId="59" applyNumberFormat="1" applyFont="1" applyProtection="1"/>
    <xf numFmtId="179" fontId="38" fillId="0" borderId="0" xfId="59" applyNumberFormat="1" applyFont="1" applyAlignment="1" applyProtection="1">
      <alignment horizontal="right"/>
    </xf>
    <xf numFmtId="176" fontId="38" fillId="0" borderId="0" xfId="59" applyNumberFormat="1" applyFont="1" applyAlignment="1" applyProtection="1">
      <alignment horizontal="right"/>
    </xf>
    <xf numFmtId="167" fontId="34" fillId="0" borderId="0" xfId="0" applyFont="1" applyAlignment="1">
      <alignment horizontal="center"/>
    </xf>
    <xf numFmtId="10" fontId="34" fillId="0" borderId="0" xfId="0" applyNumberFormat="1" applyFont="1" applyAlignment="1">
      <alignment horizontal="center"/>
    </xf>
    <xf numFmtId="176" fontId="34" fillId="0" borderId="0" xfId="59" applyNumberFormat="1" applyFont="1" applyAlignment="1" applyProtection="1">
      <alignment horizontal="right"/>
    </xf>
    <xf numFmtId="10" fontId="38" fillId="0" borderId="0" xfId="59" applyNumberFormat="1" applyFont="1" applyAlignment="1" applyProtection="1">
      <alignment horizontal="right"/>
    </xf>
    <xf numFmtId="172" fontId="38" fillId="0" borderId="0" xfId="59" applyNumberFormat="1" applyFont="1" applyProtection="1"/>
    <xf numFmtId="40" fontId="38" fillId="0" borderId="0" xfId="59" applyNumberFormat="1" applyFont="1" applyProtection="1"/>
    <xf numFmtId="40" fontId="44" fillId="0" borderId="0" xfId="59" applyNumberFormat="1" applyFont="1" applyProtection="1"/>
    <xf numFmtId="176" fontId="34" fillId="0" borderId="0" xfId="0" applyNumberFormat="1" applyFont="1" applyAlignment="1">
      <alignment horizontal="center"/>
    </xf>
    <xf numFmtId="180" fontId="34" fillId="0" borderId="0" xfId="0" applyNumberFormat="1" applyFont="1"/>
    <xf numFmtId="5" fontId="38" fillId="0" borderId="0" xfId="0" applyNumberFormat="1" applyFont="1"/>
    <xf numFmtId="182" fontId="44" fillId="0" borderId="0" xfId="0" applyNumberFormat="1" applyFont="1"/>
    <xf numFmtId="3" fontId="44" fillId="0" borderId="0" xfId="0" applyNumberFormat="1" applyFont="1"/>
    <xf numFmtId="176" fontId="44" fillId="0" borderId="0" xfId="0" applyNumberFormat="1" applyFont="1" applyAlignment="1">
      <alignment horizontal="right"/>
    </xf>
    <xf numFmtId="37" fontId="38" fillId="0" borderId="0" xfId="0" applyNumberFormat="1" applyFont="1"/>
    <xf numFmtId="180" fontId="38" fillId="0" borderId="0" xfId="0" applyNumberFormat="1" applyFont="1"/>
    <xf numFmtId="1" fontId="32" fillId="34" borderId="0" xfId="52" applyNumberFormat="1" applyFont="1" applyFill="1" applyBorder="1" applyAlignment="1">
      <alignment horizontal="right" vertical="center"/>
    </xf>
    <xf numFmtId="167" fontId="67" fillId="0" borderId="0" xfId="0" applyFont="1"/>
    <xf numFmtId="167" fontId="55" fillId="40" borderId="1" xfId="0" applyFont="1" applyFill="1" applyBorder="1"/>
    <xf numFmtId="169" fontId="54" fillId="33" borderId="16" xfId="3" applyNumberFormat="1" applyFont="1" applyBorder="1"/>
    <xf numFmtId="167" fontId="38" fillId="36" borderId="23" xfId="0" applyFont="1" applyFill="1" applyBorder="1"/>
    <xf numFmtId="173" fontId="38" fillId="36" borderId="1" xfId="0" applyNumberFormat="1" applyFont="1" applyFill="1" applyBorder="1"/>
    <xf numFmtId="178" fontId="27" fillId="33" borderId="1" xfId="3" applyNumberFormat="1"/>
    <xf numFmtId="175" fontId="56" fillId="0" borderId="0" xfId="0" applyNumberFormat="1" applyFont="1"/>
    <xf numFmtId="166" fontId="32" fillId="34" borderId="0" xfId="54" applyNumberFormat="1" applyFont="1" applyFill="1" applyBorder="1"/>
    <xf numFmtId="1" fontId="32" fillId="35" borderId="0" xfId="4" applyNumberFormat="1" applyFont="1" applyFill="1"/>
    <xf numFmtId="1" fontId="32" fillId="35" borderId="0" xfId="0" applyNumberFormat="1" applyFont="1" applyFill="1" applyAlignment="1">
      <alignment horizontal="right"/>
    </xf>
    <xf numFmtId="1" fontId="32" fillId="35" borderId="0" xfId="0" applyNumberFormat="1" applyFont="1" applyFill="1"/>
    <xf numFmtId="1" fontId="57" fillId="35" borderId="0" xfId="3" applyNumberFormat="1" applyFont="1" applyFill="1" applyBorder="1"/>
    <xf numFmtId="166" fontId="37" fillId="43" borderId="0" xfId="57" applyFont="1" applyFill="1"/>
    <xf numFmtId="167" fontId="36" fillId="0" borderId="24" xfId="0" applyFont="1" applyBorder="1"/>
    <xf numFmtId="39" fontId="44" fillId="0" borderId="15" xfId="57" applyNumberFormat="1" applyFont="1" applyBorder="1"/>
    <xf numFmtId="167" fontId="38" fillId="0" borderId="0" xfId="0" applyFont="1" applyFill="1"/>
    <xf numFmtId="1" fontId="57" fillId="0" borderId="0" xfId="3" applyNumberFormat="1" applyFont="1" applyFill="1" applyBorder="1"/>
    <xf numFmtId="1" fontId="32" fillId="0" borderId="0" xfId="0" applyNumberFormat="1" applyFont="1" applyFill="1" applyBorder="1"/>
    <xf numFmtId="175" fontId="32" fillId="0" borderId="0" xfId="0" applyNumberFormat="1" applyFont="1" applyFill="1" applyBorder="1"/>
    <xf numFmtId="173" fontId="4" fillId="0" borderId="0" xfId="0" applyNumberFormat="1" applyFont="1" applyFill="1" applyBorder="1"/>
    <xf numFmtId="167" fontId="38" fillId="0" borderId="0" xfId="0" applyFont="1" applyFill="1" applyBorder="1"/>
    <xf numFmtId="173" fontId="29" fillId="0" borderId="0" xfId="0" applyNumberFormat="1" applyFont="1" applyFill="1" applyBorder="1"/>
    <xf numFmtId="167" fontId="39" fillId="0" borderId="0" xfId="0" applyFont="1" applyFill="1" applyBorder="1"/>
    <xf numFmtId="1" fontId="32" fillId="0" borderId="0" xfId="52" applyNumberFormat="1" applyFont="1" applyFill="1" applyBorder="1" applyAlignment="1">
      <alignment horizontal="right" vertical="center"/>
    </xf>
    <xf numFmtId="167" fontId="44" fillId="0" borderId="0" xfId="0" applyFont="1" applyFill="1"/>
    <xf numFmtId="173" fontId="54" fillId="0" borderId="0" xfId="0" applyNumberFormat="1" applyFont="1" applyFill="1" applyBorder="1"/>
    <xf numFmtId="167" fontId="55" fillId="0" borderId="0" xfId="0" applyFont="1" applyFill="1" applyBorder="1"/>
    <xf numFmtId="167" fontId="36" fillId="0" borderId="0" xfId="0" applyFont="1" applyFill="1" applyBorder="1"/>
    <xf numFmtId="167" fontId="44" fillId="0" borderId="0" xfId="0" applyFont="1" applyFill="1" applyBorder="1"/>
    <xf numFmtId="0" fontId="32" fillId="0" borderId="0" xfId="0" applyNumberFormat="1" applyFont="1" applyFill="1" applyBorder="1"/>
    <xf numFmtId="167" fontId="48" fillId="0" borderId="0" xfId="0" applyFont="1" applyFill="1" applyBorder="1"/>
    <xf numFmtId="167" fontId="29" fillId="0" borderId="0" xfId="0" applyFont="1" applyFill="1" applyBorder="1"/>
    <xf numFmtId="173" fontId="38" fillId="0" borderId="0" xfId="0" applyNumberFormat="1" applyFont="1" applyFill="1" applyBorder="1"/>
    <xf numFmtId="1" fontId="32" fillId="0" borderId="0" xfId="4" applyNumberFormat="1" applyFont="1" applyFill="1" applyBorder="1"/>
    <xf numFmtId="179" fontId="44" fillId="0" borderId="0" xfId="0" applyNumberFormat="1" applyFont="1" applyFill="1" applyBorder="1"/>
    <xf numFmtId="172" fontId="38" fillId="0" borderId="0" xfId="0" applyNumberFormat="1" applyFont="1" applyFill="1" applyBorder="1"/>
    <xf numFmtId="174" fontId="44" fillId="0" borderId="0" xfId="0" applyNumberFormat="1" applyFont="1" applyFill="1" applyBorder="1"/>
    <xf numFmtId="169" fontId="65" fillId="33" borderId="1" xfId="3" applyNumberFormat="1" applyFont="1" applyBorder="1"/>
    <xf numFmtId="177" fontId="65" fillId="33" borderId="1" xfId="3" applyNumberFormat="1" applyFont="1" applyBorder="1"/>
    <xf numFmtId="167" fontId="65" fillId="33" borderId="1" xfId="3" applyNumberFormat="1" applyFont="1" applyBorder="1"/>
    <xf numFmtId="173" fontId="65" fillId="33" borderId="1" xfId="3" applyNumberFormat="1" applyFont="1" applyBorder="1"/>
    <xf numFmtId="1" fontId="32" fillId="0" borderId="0" xfId="0" applyNumberFormat="1" applyFont="1" applyFill="1" applyAlignment="1">
      <alignment horizontal="right"/>
    </xf>
    <xf numFmtId="1" fontId="32" fillId="0" borderId="0" xfId="0" applyNumberFormat="1" applyFont="1" applyFill="1" applyBorder="1" applyAlignment="1">
      <alignment horizontal="right"/>
    </xf>
    <xf numFmtId="167" fontId="43" fillId="0" borderId="0" xfId="0" applyFont="1" applyFill="1" applyBorder="1"/>
    <xf numFmtId="179" fontId="38" fillId="0" borderId="0" xfId="0" applyNumberFormat="1" applyFont="1" applyFill="1" applyBorder="1"/>
    <xf numFmtId="167" fontId="44" fillId="0" borderId="0" xfId="0" applyFont="1" applyFill="1" applyBorder="1" applyAlignment="1">
      <alignment horizontal="right"/>
    </xf>
    <xf numFmtId="169" fontId="54" fillId="33" borderId="1" xfId="3" applyNumberFormat="1" applyFont="1" applyBorder="1"/>
    <xf numFmtId="173" fontId="39" fillId="0" borderId="0" xfId="0" applyNumberFormat="1" applyFont="1" applyFill="1" applyBorder="1"/>
    <xf numFmtId="179" fontId="38" fillId="0" borderId="0" xfId="0" applyNumberFormat="1" applyFont="1" applyFill="1" applyBorder="1" applyAlignment="1">
      <alignment horizontal="right"/>
    </xf>
    <xf numFmtId="167" fontId="32" fillId="0" borderId="0" xfId="0" applyFont="1" applyFill="1"/>
    <xf numFmtId="167" fontId="54" fillId="33" borderId="1" xfId="3" applyNumberFormat="1" applyFont="1" applyBorder="1"/>
    <xf numFmtId="177" fontId="54" fillId="33" borderId="1" xfId="3" applyNumberFormat="1" applyFont="1" applyBorder="1"/>
    <xf numFmtId="173" fontId="37" fillId="0" borderId="15" xfId="57" applyNumberFormat="1" applyFont="1" applyBorder="1"/>
    <xf numFmtId="173" fontId="38" fillId="0" borderId="0" xfId="0" applyNumberFormat="1" applyFont="1" applyBorder="1"/>
    <xf numFmtId="179" fontId="54" fillId="33" borderId="1" xfId="3" applyNumberFormat="1" applyFont="1"/>
    <xf numFmtId="179" fontId="54" fillId="33" borderId="1" xfId="3" applyNumberFormat="1" applyFont="1" applyBorder="1"/>
    <xf numFmtId="167" fontId="38" fillId="0" borderId="0" xfId="0" applyFont="1" applyBorder="1"/>
    <xf numFmtId="167" fontId="37" fillId="0" borderId="18" xfId="0" applyFont="1" applyBorder="1"/>
    <xf numFmtId="9" fontId="39" fillId="0" borderId="0" xfId="0" applyNumberFormat="1" applyFont="1"/>
    <xf numFmtId="1" fontId="32" fillId="34" borderId="0" xfId="0" applyNumberFormat="1" applyFont="1" applyFill="1" applyAlignment="1">
      <alignment horizontal="right"/>
    </xf>
    <xf numFmtId="1" fontId="32" fillId="34" borderId="0" xfId="0" applyNumberFormat="1" applyFont="1" applyFill="1" applyAlignment="1">
      <alignment horizontal="left"/>
    </xf>
    <xf numFmtId="167" fontId="44" fillId="0" borderId="0" xfId="0" applyFont="1" applyBorder="1"/>
    <xf numFmtId="37" fontId="38" fillId="0" borderId="18" xfId="0" applyNumberFormat="1" applyFont="1" applyBorder="1"/>
    <xf numFmtId="9" fontId="38" fillId="0" borderId="18" xfId="0" applyNumberFormat="1" applyFont="1" applyBorder="1"/>
    <xf numFmtId="9" fontId="39" fillId="0" borderId="18" xfId="0" applyNumberFormat="1" applyFont="1" applyBorder="1"/>
    <xf numFmtId="3" fontId="39" fillId="0" borderId="0" xfId="0" applyNumberFormat="1" applyFont="1"/>
    <xf numFmtId="3" fontId="38" fillId="0" borderId="18" xfId="0" applyNumberFormat="1" applyFont="1" applyBorder="1"/>
    <xf numFmtId="9" fontId="44" fillId="0" borderId="0" xfId="0" applyNumberFormat="1" applyFont="1"/>
    <xf numFmtId="9" fontId="44" fillId="0" borderId="18" xfId="0" applyNumberFormat="1" applyFont="1" applyBorder="1"/>
    <xf numFmtId="9" fontId="39" fillId="0" borderId="0" xfId="0" applyNumberFormat="1" applyFont="1" applyBorder="1"/>
    <xf numFmtId="9" fontId="38" fillId="0" borderId="17" xfId="0" applyNumberFormat="1" applyFont="1" applyBorder="1"/>
    <xf numFmtId="179" fontId="39" fillId="0" borderId="0" xfId="0" applyNumberFormat="1" applyFont="1" applyBorder="1"/>
    <xf numFmtId="179" fontId="38" fillId="0" borderId="18" xfId="0" applyNumberFormat="1" applyFont="1" applyBorder="1"/>
    <xf numFmtId="37" fontId="38" fillId="0" borderId="0" xfId="0" applyNumberFormat="1" applyFont="1" applyBorder="1"/>
    <xf numFmtId="37" fontId="38" fillId="0" borderId="15" xfId="0" applyNumberFormat="1" applyFont="1" applyBorder="1"/>
    <xf numFmtId="179" fontId="38" fillId="0" borderId="0" xfId="0" applyNumberFormat="1" applyFont="1" applyBorder="1"/>
    <xf numFmtId="37" fontId="44" fillId="0" borderId="18" xfId="0" applyNumberFormat="1" applyFont="1" applyBorder="1"/>
    <xf numFmtId="37" fontId="44" fillId="0" borderId="0" xfId="0" applyNumberFormat="1" applyFont="1"/>
    <xf numFmtId="37" fontId="38" fillId="0" borderId="0" xfId="0" applyNumberFormat="1" applyFont="1" applyFill="1"/>
    <xf numFmtId="9" fontId="38" fillId="0" borderId="0" xfId="0" applyNumberFormat="1" applyFont="1" applyFill="1"/>
    <xf numFmtId="9" fontId="39" fillId="0" borderId="0" xfId="0" applyNumberFormat="1" applyFont="1" applyFill="1"/>
    <xf numFmtId="9" fontId="38" fillId="0" borderId="0" xfId="0" applyNumberFormat="1" applyFont="1" applyBorder="1"/>
    <xf numFmtId="3" fontId="39" fillId="0" borderId="0" xfId="0" applyNumberFormat="1" applyFont="1" applyBorder="1"/>
    <xf numFmtId="9" fontId="44" fillId="0" borderId="0" xfId="0" applyNumberFormat="1" applyFont="1" applyBorder="1"/>
    <xf numFmtId="9" fontId="38" fillId="0" borderId="24" xfId="0" applyNumberFormat="1" applyFont="1" applyBorder="1"/>
    <xf numFmtId="9" fontId="36" fillId="44" borderId="0" xfId="0" applyNumberFormat="1" applyFont="1" applyFill="1"/>
    <xf numFmtId="37" fontId="38" fillId="0" borderId="18" xfId="0" applyNumberFormat="1" applyFont="1" applyFill="1" applyBorder="1"/>
    <xf numFmtId="9" fontId="38" fillId="0" borderId="18" xfId="0" applyNumberFormat="1" applyFont="1" applyFill="1" applyBorder="1"/>
    <xf numFmtId="9" fontId="36" fillId="44" borderId="18" xfId="0" applyNumberFormat="1" applyFont="1" applyFill="1" applyBorder="1"/>
    <xf numFmtId="9" fontId="39" fillId="0" borderId="18" xfId="0" applyNumberFormat="1" applyFont="1" applyFill="1" applyBorder="1"/>
    <xf numFmtId="167" fontId="38" fillId="0" borderId="18" xfId="0" applyFont="1" applyFill="1" applyBorder="1"/>
    <xf numFmtId="9" fontId="36" fillId="44" borderId="17" xfId="0" applyNumberFormat="1" applyFont="1" applyFill="1" applyBorder="1"/>
    <xf numFmtId="1" fontId="44" fillId="0" borderId="0" xfId="0" applyNumberFormat="1" applyFont="1" applyFill="1" applyAlignment="1">
      <alignment horizontal="right"/>
    </xf>
    <xf numFmtId="9" fontId="29" fillId="0" borderId="0" xfId="0" applyNumberFormat="1" applyFont="1" applyBorder="1"/>
    <xf numFmtId="167" fontId="39" fillId="0" borderId="0" xfId="0" applyFont="1" applyBorder="1"/>
    <xf numFmtId="9" fontId="38" fillId="0" borderId="16" xfId="0" applyNumberFormat="1" applyFont="1" applyBorder="1"/>
    <xf numFmtId="37" fontId="44" fillId="0" borderId="15" xfId="0" applyNumberFormat="1" applyFont="1" applyBorder="1"/>
    <xf numFmtId="37" fontId="44" fillId="0" borderId="16" xfId="0" applyNumberFormat="1" applyFont="1" applyBorder="1"/>
    <xf numFmtId="179" fontId="44" fillId="0" borderId="14" xfId="0" applyNumberFormat="1" applyFont="1" applyBorder="1"/>
    <xf numFmtId="39" fontId="1" fillId="0" borderId="0" xfId="57" applyNumberFormat="1" applyFont="1" applyBorder="1"/>
    <xf numFmtId="173" fontId="38" fillId="0" borderId="0" xfId="57" applyNumberFormat="1" applyFont="1" applyBorder="1"/>
    <xf numFmtId="167" fontId="54" fillId="40" borderId="19" xfId="0" applyFont="1" applyFill="1" applyBorder="1"/>
    <xf numFmtId="167" fontId="54" fillId="40" borderId="1" xfId="0" applyFont="1" applyFill="1" applyBorder="1"/>
    <xf numFmtId="167" fontId="39" fillId="0" borderId="0" xfId="57" applyNumberFormat="1" applyFont="1" applyFill="1" applyBorder="1"/>
    <xf numFmtId="167" fontId="39" fillId="0" borderId="18" xfId="57" applyNumberFormat="1" applyFont="1" applyFill="1" applyBorder="1"/>
    <xf numFmtId="173" fontId="38" fillId="0" borderId="15" xfId="57" applyNumberFormat="1" applyFont="1" applyBorder="1"/>
    <xf numFmtId="167" fontId="38" fillId="0" borderId="19" xfId="0" applyFont="1" applyBorder="1"/>
    <xf numFmtId="182" fontId="38" fillId="0" borderId="0" xfId="0" applyNumberFormat="1" applyFont="1" applyAlignment="1">
      <alignment horizontal="center"/>
    </xf>
    <xf numFmtId="3" fontId="38" fillId="0" borderId="0" xfId="0" applyNumberFormat="1" applyFont="1" applyAlignment="1">
      <alignment horizontal="center"/>
    </xf>
    <xf numFmtId="176" fontId="38" fillId="0" borderId="18" xfId="0" applyNumberFormat="1" applyFont="1" applyBorder="1" applyAlignment="1">
      <alignment horizontal="center"/>
    </xf>
    <xf numFmtId="176" fontId="38" fillId="0" borderId="24" xfId="0" applyNumberFormat="1" applyFont="1" applyBorder="1" applyAlignment="1">
      <alignment horizontal="center"/>
    </xf>
    <xf numFmtId="176" fontId="38" fillId="0" borderId="17" xfId="0" applyNumberFormat="1" applyFont="1" applyBorder="1" applyAlignment="1">
      <alignment horizontal="center"/>
    </xf>
    <xf numFmtId="176" fontId="44" fillId="42" borderId="15" xfId="0" applyNumberFormat="1" applyFont="1" applyFill="1" applyBorder="1" applyAlignment="1">
      <alignment horizontal="center"/>
    </xf>
    <xf numFmtId="176" fontId="44" fillId="42" borderId="14" xfId="0" applyNumberFormat="1" applyFont="1" applyFill="1" applyBorder="1" applyAlignment="1">
      <alignment horizontal="center"/>
    </xf>
    <xf numFmtId="167" fontId="38" fillId="42" borderId="15" xfId="0" applyFont="1" applyFill="1" applyBorder="1" applyAlignment="1">
      <alignment horizontal="center"/>
    </xf>
    <xf numFmtId="173" fontId="38" fillId="42" borderId="15" xfId="0" applyNumberFormat="1" applyFont="1" applyFill="1" applyBorder="1" applyAlignment="1">
      <alignment horizontal="center"/>
    </xf>
    <xf numFmtId="167" fontId="38" fillId="0" borderId="0" xfId="0" applyNumberFormat="1" applyFont="1" applyAlignment="1">
      <alignment horizontal="center"/>
    </xf>
    <xf numFmtId="173" fontId="44" fillId="0" borderId="0" xfId="0" applyNumberFormat="1" applyFont="1" applyAlignment="1">
      <alignment horizontal="center"/>
    </xf>
    <xf numFmtId="167" fontId="38" fillId="0" borderId="18" xfId="0" applyNumberFormat="1" applyFont="1" applyBorder="1" applyAlignment="1">
      <alignment horizontal="center"/>
    </xf>
    <xf numFmtId="182" fontId="44" fillId="0" borderId="0" xfId="0" applyNumberFormat="1" applyFont="1" applyAlignment="1">
      <alignment horizontal="center"/>
    </xf>
    <xf numFmtId="182" fontId="44" fillId="0" borderId="18" xfId="0" applyNumberFormat="1" applyFont="1" applyBorder="1" applyAlignment="1">
      <alignment horizontal="center"/>
    </xf>
    <xf numFmtId="179" fontId="44" fillId="0" borderId="14" xfId="0" applyNumberFormat="1" applyFont="1" applyFill="1" applyBorder="1" applyAlignment="1">
      <alignment horizontal="center"/>
    </xf>
    <xf numFmtId="182" fontId="44" fillId="0" borderId="14" xfId="0" applyNumberFormat="1" applyFont="1" applyFill="1" applyBorder="1" applyAlignment="1">
      <alignment horizontal="center"/>
    </xf>
    <xf numFmtId="173" fontId="39" fillId="42" borderId="15" xfId="0" applyNumberFormat="1" applyFont="1" applyFill="1" applyBorder="1" applyAlignment="1">
      <alignment horizontal="center"/>
    </xf>
    <xf numFmtId="173" fontId="39" fillId="42" borderId="14" xfId="0" applyNumberFormat="1" applyFont="1" applyFill="1" applyBorder="1" applyAlignment="1">
      <alignment horizontal="center"/>
    </xf>
    <xf numFmtId="173" fontId="40" fillId="0" borderId="14" xfId="0" applyNumberFormat="1" applyFont="1" applyFill="1" applyBorder="1" applyAlignment="1">
      <alignment horizontal="center"/>
    </xf>
  </cellXfs>
  <cellStyles count="68">
    <cellStyle name="20% - Accent1" xfId="23" builtinId="30" hidden="1"/>
    <cellStyle name="20% - Accent2" xfId="27" builtinId="34" hidden="1"/>
    <cellStyle name="20% - Accent3" xfId="31" builtinId="38" hidden="1"/>
    <cellStyle name="20% - Accent4" xfId="35" builtinId="42" hidden="1"/>
    <cellStyle name="20% - Accent5" xfId="39" builtinId="46" hidden="1"/>
    <cellStyle name="20% - Accent6" xfId="43" builtinId="50" hidden="1"/>
    <cellStyle name="40% - Accent1" xfId="24" builtinId="31" hidden="1"/>
    <cellStyle name="40% - Accent2" xfId="28" builtinId="35" hidden="1"/>
    <cellStyle name="40% - Accent3" xfId="32" builtinId="39" hidden="1"/>
    <cellStyle name="40% - Accent4" xfId="36" builtinId="43" hidden="1"/>
    <cellStyle name="40% - Accent5" xfId="40" builtinId="47" hidden="1"/>
    <cellStyle name="40% - Accent6" xfId="44" builtinId="51" hidden="1"/>
    <cellStyle name="60% - Accent1" xfId="25" builtinId="32" hidden="1"/>
    <cellStyle name="60% - Accent2" xfId="29" builtinId="36" hidden="1"/>
    <cellStyle name="60% - Accent3" xfId="33" builtinId="40" hidden="1"/>
    <cellStyle name="60% - Accent4" xfId="37" builtinId="44" hidden="1"/>
    <cellStyle name="60% - Accent5" xfId="41" builtinId="48" hidden="1"/>
    <cellStyle name="60% - Accent6" xfId="45" builtinId="52" hidden="1"/>
    <cellStyle name="Accent1" xfId="22" builtinId="29" hidden="1"/>
    <cellStyle name="Accent2" xfId="26" builtinId="33" hidden="1"/>
    <cellStyle name="Accent3" xfId="30" builtinId="37" hidden="1"/>
    <cellStyle name="Accent4" xfId="34" builtinId="41" hidden="1"/>
    <cellStyle name="Accent5" xfId="38" builtinId="45" hidden="1"/>
    <cellStyle name="Accent6" xfId="42" builtinId="49" hidden="1"/>
    <cellStyle name="Bad" xfId="12" builtinId="27" hidden="1"/>
    <cellStyle name="blp_column_header" xfId="66" xr:uid="{AF54CA06-E9C5-47E9-94D2-0FADAEF0B6B2}"/>
    <cellStyle name="Blue" xfId="57" xr:uid="{00000000-0005-0000-0000-000019000000}"/>
    <cellStyle name="Blue 2" xfId="58" xr:uid="{00000000-0005-0000-0000-00001A000000}"/>
    <cellStyle name="Calculation" xfId="15" builtinId="22" hidden="1"/>
    <cellStyle name="Check Cell" xfId="17" builtinId="23" hidden="1"/>
    <cellStyle name="Comma" xfId="47" builtinId="3" hidden="1"/>
    <cellStyle name="Comma [0]" xfId="48" builtinId="6" hidden="1"/>
    <cellStyle name="Currency" xfId="49" builtinId="4" hidden="1"/>
    <cellStyle name="Currency [0]" xfId="50" builtinId="7" hidden="1"/>
    <cellStyle name="Date" xfId="1" xr:uid="{00000000-0005-0000-0000-000021000000}"/>
    <cellStyle name="Explanatory Text" xfId="20" builtinId="53" hidden="1"/>
    <cellStyle name="fa_column_header_bottom" xfId="67" xr:uid="{B37CB0A4-C947-4ACB-B9B9-C19627451DA0}"/>
    <cellStyle name="Followed Hyperlink" xfId="46" builtinId="9" hidden="1"/>
    <cellStyle name="Good" xfId="11" builtinId="26" hidden="1"/>
    <cellStyle name="Header" xfId="52" xr:uid="{00000000-0005-0000-0000-000025000000}"/>
    <cellStyle name="Heading 1" xfId="7" builtinId="16" hidden="1"/>
    <cellStyle name="Heading 2" xfId="8" builtinId="17" hidden="1"/>
    <cellStyle name="Heading 3" xfId="9" builtinId="18" hidden="1"/>
    <cellStyle name="Heading 4" xfId="10" builtinId="19" hidden="1"/>
    <cellStyle name="Historics" xfId="5" xr:uid="{00000000-0005-0000-0000-00002A000000}"/>
    <cellStyle name="Hyperlink" xfId="2" builtinId="8" hidden="1"/>
    <cellStyle name="Hyperlink 2" xfId="63" xr:uid="{57AD9CC5-9338-4D16-BF1A-884F881EA8CD}"/>
    <cellStyle name="Input" xfId="3" builtinId="20" customBuiltin="1"/>
    <cellStyle name="Input %" xfId="56" xr:uid="{00000000-0005-0000-0000-00002D000000}"/>
    <cellStyle name="Linked Cell" xfId="16" builtinId="24" hidden="1"/>
    <cellStyle name="Multiple" xfId="51" xr:uid="{00000000-0005-0000-0000-00002F000000}"/>
    <cellStyle name="Neutral" xfId="13" builtinId="28" hidden="1"/>
    <cellStyle name="Normal" xfId="0" builtinId="0" customBuiltin="1"/>
    <cellStyle name="Normal 2" xfId="59" xr:uid="{0A8E609E-3410-4D42-B3E5-0CEDA3329063}"/>
    <cellStyle name="Normal 2 2" xfId="64" xr:uid="{9D99E413-20CC-4F11-AA53-24332CDFCBF4}"/>
    <cellStyle name="Normal 3" xfId="61" xr:uid="{31E45258-C707-4FFF-AD35-8231101EDEE0}"/>
    <cellStyle name="Note" xfId="19" builtinId="10" hidden="1"/>
    <cellStyle name="Output" xfId="14" builtinId="21" hidden="1"/>
    <cellStyle name="Percent" xfId="4" builtinId="5" customBuiltin="1"/>
    <cellStyle name="Percent 2" xfId="62" xr:uid="{2050E5B5-C816-466F-AB53-D85F6FC7433A}"/>
    <cellStyle name="SubHeader" xfId="53" xr:uid="{00000000-0005-0000-0000-000035000000}"/>
    <cellStyle name="SubHeader2" xfId="54" xr:uid="{00000000-0005-0000-0000-000036000000}"/>
    <cellStyle name="SubHeader3" xfId="65" xr:uid="{E3F0A91E-F702-431E-964C-140D77ADB2F2}"/>
    <cellStyle name="Title" xfId="6" builtinId="15" hidden="1"/>
    <cellStyle name="Total" xfId="21" builtinId="25" hidden="1"/>
    <cellStyle name="Warning Text" xfId="18" builtinId="11" hidden="1"/>
    <cellStyle name="xGuides" xfId="60" xr:uid="{84689593-CF67-4082-A4B0-622C31D0642E}"/>
    <cellStyle name="YesNo" xfId="55" xr:uid="{00000000-0005-0000-0000-00003A000000}"/>
  </cellStyles>
  <dxfs count="8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E00"/>
      <rgbColor rgb="00000080"/>
      <rgbColor rgb="00808000"/>
      <rgbColor rgb="00800080"/>
      <rgbColor rgb="00008080"/>
      <rgbColor rgb="00C0C0C0"/>
      <rgbColor rgb="00808080"/>
      <rgbColor rgb="00EAFFDF"/>
      <rgbColor rgb="00993366"/>
      <rgbColor rgb="00FFFFCB"/>
      <rgbColor rgb="00E3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3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4472C4"/>
      <color rgb="FFB4DE86"/>
      <color rgb="FF44546A"/>
      <color rgb="FFEA4335"/>
      <color rgb="FF5F6368"/>
      <color rgb="FF34A853"/>
      <color rgb="FFFBBC05"/>
      <color rgb="FFFF8585"/>
      <color rgb="FF4285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and\Downloads\Lululemon%20DCF%20model%20solution%20std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TS"/>
      <sheetName val="Inputs"/>
      <sheetName val="Model"/>
      <sheetName val="DCF"/>
      <sheetName val="Presentation sheet"/>
    </sheetNames>
    <sheetDataSet>
      <sheetData sheetId="0" refreshError="1"/>
      <sheetData sheetId="1" refreshError="1"/>
      <sheetData sheetId="2" refreshError="1"/>
      <sheetData sheetId="3">
        <row r="98">
          <cell r="E98">
            <v>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AMT Training">
      <a:dk1>
        <a:srgbClr val="000000"/>
      </a:dk1>
      <a:lt1>
        <a:sysClr val="window" lastClr="FFFFFF"/>
      </a:lt1>
      <a:dk2>
        <a:srgbClr val="46484C"/>
      </a:dk2>
      <a:lt2>
        <a:srgbClr val="65686D"/>
      </a:lt2>
      <a:accent1>
        <a:srgbClr val="AFD7FF"/>
      </a:accent1>
      <a:accent2>
        <a:srgbClr val="007BEA"/>
      </a:accent2>
      <a:accent3>
        <a:srgbClr val="64E8C8"/>
      </a:accent3>
      <a:accent4>
        <a:srgbClr val="6DB9FF"/>
      </a:accent4>
      <a:accent5>
        <a:srgbClr val="C5D2D5"/>
      </a:accent5>
      <a:accent6>
        <a:srgbClr val="FFFFA0"/>
      </a:accent6>
      <a:hlink>
        <a:srgbClr val="00B050"/>
      </a:hlink>
      <a:folHlink>
        <a:srgbClr val="D2001E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zoomScale="115" zoomScaleNormal="115" workbookViewId="0">
      <selection activeCell="C1" sqref="C1"/>
    </sheetView>
  </sheetViews>
  <sheetFormatPr defaultColWidth="9.140625" defaultRowHeight="15" x14ac:dyDescent="0.25"/>
  <cols>
    <col min="1" max="1" width="4.28515625" style="4" bestFit="1" customWidth="1"/>
    <col min="2" max="2" width="22.85546875" style="4" customWidth="1"/>
    <col min="3" max="3" width="18.140625" style="4" customWidth="1"/>
    <col min="4" max="4" width="17.42578125" style="4" customWidth="1"/>
    <col min="5" max="5" width="18.5703125" style="4" customWidth="1"/>
    <col min="6" max="6" width="16.42578125" style="4" customWidth="1"/>
    <col min="7" max="7" width="13.42578125" style="4" customWidth="1"/>
    <col min="8" max="8" width="17.42578125" style="4" bestFit="1" customWidth="1"/>
    <col min="9" max="9" width="13.42578125" style="4" customWidth="1"/>
    <col min="10" max="10" width="16.28515625" style="4" customWidth="1"/>
    <col min="11" max="11" width="17.42578125" style="4" bestFit="1" customWidth="1"/>
    <col min="12" max="14" width="13.42578125" style="4" customWidth="1"/>
    <col min="15" max="15" width="13.140625" style="4" customWidth="1"/>
    <col min="16" max="16" width="12.7109375" style="4" customWidth="1"/>
    <col min="17" max="17" width="13.140625" style="4" customWidth="1"/>
    <col min="18" max="16384" width="9.140625" style="4"/>
  </cols>
  <sheetData>
    <row r="1" spans="1:15" s="51" customFormat="1" ht="19.5" x14ac:dyDescent="0.3">
      <c r="A1" s="272" t="str">
        <f>CoName</f>
        <v>Nike Inc.</v>
      </c>
      <c r="B1" s="2"/>
      <c r="C1" s="2"/>
      <c r="D1" s="149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15" s="16" customFormat="1" x14ac:dyDescent="0.25">
      <c r="A2" s="62" t="s">
        <v>189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</row>
    <row r="4" spans="1:15" x14ac:dyDescent="0.25">
      <c r="B4" s="4" t="s">
        <v>3</v>
      </c>
      <c r="C4" s="53" t="s">
        <v>192</v>
      </c>
      <c r="E4" s="4" t="s">
        <v>166</v>
      </c>
      <c r="F4" s="233">
        <v>69.13</v>
      </c>
    </row>
    <row r="5" spans="1:15" x14ac:dyDescent="0.25">
      <c r="B5" s="4" t="s">
        <v>4</v>
      </c>
      <c r="C5" s="54">
        <v>45931.43</v>
      </c>
      <c r="E5" s="4" t="s">
        <v>193</v>
      </c>
      <c r="F5" s="156">
        <v>1478.2013629999999</v>
      </c>
    </row>
    <row r="6" spans="1:15" x14ac:dyDescent="0.25">
      <c r="B6" s="4" t="s">
        <v>5</v>
      </c>
      <c r="C6" s="53" t="s">
        <v>9</v>
      </c>
      <c r="E6" s="4" t="s">
        <v>194</v>
      </c>
      <c r="F6" s="156">
        <f>F5*F4</f>
        <v>102188.06022418999</v>
      </c>
    </row>
    <row r="7" spans="1:15" x14ac:dyDescent="0.25">
      <c r="B7" s="4" t="s">
        <v>6</v>
      </c>
      <c r="C7" s="53" t="s">
        <v>8</v>
      </c>
      <c r="E7" s="4" t="s">
        <v>172</v>
      </c>
      <c r="F7" s="53">
        <f>7024+1551</f>
        <v>8575</v>
      </c>
    </row>
    <row r="8" spans="1:15" x14ac:dyDescent="0.25">
      <c r="B8" s="4" t="s">
        <v>2</v>
      </c>
      <c r="C8" s="53" t="s">
        <v>87</v>
      </c>
      <c r="E8" s="4" t="s">
        <v>145</v>
      </c>
      <c r="F8" s="53">
        <f>7996</f>
        <v>7996</v>
      </c>
    </row>
    <row r="9" spans="1:15" x14ac:dyDescent="0.25">
      <c r="B9" s="4" t="s">
        <v>7</v>
      </c>
      <c r="C9" s="53">
        <v>0</v>
      </c>
      <c r="E9" s="4" t="s">
        <v>117</v>
      </c>
      <c r="F9" s="53">
        <f>F6-F7+F8</f>
        <v>101609.06022418999</v>
      </c>
    </row>
    <row r="11" spans="1:15" x14ac:dyDescent="0.25">
      <c r="B11" s="11" t="s">
        <v>134</v>
      </c>
      <c r="C11" s="166" t="s">
        <v>188</v>
      </c>
      <c r="D11" s="166" t="s">
        <v>187</v>
      </c>
      <c r="E11" s="166" t="s">
        <v>191</v>
      </c>
      <c r="F11" s="166" t="s">
        <v>190</v>
      </c>
    </row>
    <row r="12" spans="1:15" x14ac:dyDescent="0.25">
      <c r="B12" s="4" t="s">
        <v>173</v>
      </c>
      <c r="C12" s="241">
        <v>68.5</v>
      </c>
      <c r="D12" s="240">
        <v>32.4</v>
      </c>
      <c r="E12" s="240">
        <f>COMPS!J14</f>
        <v>43.046215922744295</v>
      </c>
      <c r="F12" s="240">
        <f>AVERAGE(C12:E12)</f>
        <v>47.9820719742481</v>
      </c>
    </row>
    <row r="13" spans="1:15" x14ac:dyDescent="0.25">
      <c r="A13" s="234"/>
      <c r="B13" s="4" t="s">
        <v>174</v>
      </c>
      <c r="C13" s="235">
        <f>C12/$F$4-1</f>
        <v>-9.1132648633009961E-3</v>
      </c>
      <c r="D13" s="235">
        <f t="shared" ref="D13:F13" si="0">D12/$F$4-1</f>
        <v>-0.5313178070302329</v>
      </c>
      <c r="E13" s="235">
        <f t="shared" si="0"/>
        <v>-0.37731497290981775</v>
      </c>
      <c r="F13" s="235">
        <f t="shared" si="0"/>
        <v>-0.30591534826778388</v>
      </c>
      <c r="G13" s="234"/>
      <c r="H13" s="234"/>
      <c r="I13" s="234"/>
      <c r="J13" s="234"/>
      <c r="K13" s="234"/>
      <c r="L13" s="234"/>
      <c r="M13" s="234"/>
      <c r="N13" s="234"/>
      <c r="O13" s="234"/>
    </row>
    <row r="14" spans="1:15" x14ac:dyDescent="0.25">
      <c r="A14" s="82"/>
      <c r="C14" s="166"/>
      <c r="D14" s="166"/>
      <c r="E14" s="166"/>
      <c r="F14" s="166"/>
    </row>
    <row r="15" spans="1:15" x14ac:dyDescent="0.25">
      <c r="B15" s="11" t="s">
        <v>253</v>
      </c>
      <c r="C15" s="166" t="s">
        <v>188</v>
      </c>
      <c r="D15" s="166" t="s">
        <v>187</v>
      </c>
      <c r="E15" s="166" t="s">
        <v>191</v>
      </c>
      <c r="F15" s="166" t="s">
        <v>190</v>
      </c>
    </row>
    <row r="16" spans="1:15" x14ac:dyDescent="0.25">
      <c r="B16" s="4" t="s">
        <v>173</v>
      </c>
      <c r="C16" s="241">
        <v>76.7</v>
      </c>
      <c r="D16" s="240">
        <v>34.200000000000003</v>
      </c>
      <c r="E16" s="240">
        <f>E12</f>
        <v>43.046215922744295</v>
      </c>
      <c r="F16" s="240">
        <f>AVERAGE(C16:E16)</f>
        <v>51.315405307581436</v>
      </c>
    </row>
    <row r="17" spans="2:6" x14ac:dyDescent="0.25">
      <c r="B17" s="4" t="s">
        <v>174</v>
      </c>
      <c r="C17" s="235">
        <f t="shared" ref="C17:F17" si="1">C16/$F$4-1</f>
        <v>0.10950383335744251</v>
      </c>
      <c r="D17" s="235">
        <f t="shared" si="1"/>
        <v>-0.50527990742080131</v>
      </c>
      <c r="E17" s="235">
        <f t="shared" si="1"/>
        <v>-0.37731497290981775</v>
      </c>
      <c r="F17" s="235">
        <f t="shared" si="1"/>
        <v>-0.2576970156577254</v>
      </c>
    </row>
    <row r="18" spans="2:6" x14ac:dyDescent="0.25">
      <c r="C18" s="166"/>
      <c r="D18" s="166"/>
      <c r="E18" s="166"/>
      <c r="F18" s="166"/>
    </row>
    <row r="19" spans="2:6" x14ac:dyDescent="0.25">
      <c r="B19" s="11" t="s">
        <v>254</v>
      </c>
      <c r="C19" s="166" t="s">
        <v>188</v>
      </c>
      <c r="D19" s="166" t="s">
        <v>187</v>
      </c>
      <c r="E19" s="166" t="s">
        <v>191</v>
      </c>
      <c r="F19" s="166" t="s">
        <v>190</v>
      </c>
    </row>
    <row r="20" spans="2:6" x14ac:dyDescent="0.25">
      <c r="B20" s="4" t="s">
        <v>173</v>
      </c>
      <c r="C20" s="241">
        <v>61.2</v>
      </c>
      <c r="D20" s="240">
        <v>30.7</v>
      </c>
      <c r="E20" s="240">
        <f>E16</f>
        <v>43.046215922744295</v>
      </c>
      <c r="F20" s="240">
        <f>AVERAGE(C20:E20)</f>
        <v>44.9820719742481</v>
      </c>
    </row>
    <row r="21" spans="2:6" x14ac:dyDescent="0.25">
      <c r="B21" s="4" t="s">
        <v>174</v>
      </c>
      <c r="C21" s="235">
        <f t="shared" ref="C21:F21" si="2">C20/$F$4-1</f>
        <v>-0.11471141327932866</v>
      </c>
      <c r="D21" s="235">
        <f t="shared" si="2"/>
        <v>-0.55590915666136265</v>
      </c>
      <c r="E21" s="235">
        <f t="shared" si="2"/>
        <v>-0.37731497290981775</v>
      </c>
      <c r="F21" s="235">
        <f t="shared" si="2"/>
        <v>-0.34931184761683631</v>
      </c>
    </row>
  </sheetData>
  <pageMargins left="0.74803149606299213" right="0.74803149606299213" top="0.98425196850393704" bottom="0.98425196850393704" header="0.51181102362204722" footer="0.51181102362204722"/>
  <pageSetup paperSize="9" scale="63" fitToHeight="4" orientation="landscape" horizontalDpi="4294967292" r:id="rId1"/>
  <headerFooter alignWithMargins="0">
    <oddHeader>&amp;L&amp;F &amp;A</oddHeader>
    <oddFooter>&amp;L© Adkins Matchett &amp; Toy 2017&amp;R &amp;P of &amp;N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C759-7EE8-4F94-A92F-62A3DBDD70DA}">
  <sheetPr codeName="Sheet13"/>
  <dimension ref="A1:M15"/>
  <sheetViews>
    <sheetView showGridLines="0" topLeftCell="A13" zoomScaleNormal="100" workbookViewId="0">
      <selection activeCell="E5" sqref="E5"/>
    </sheetView>
  </sheetViews>
  <sheetFormatPr defaultColWidth="9" defaultRowHeight="15" x14ac:dyDescent="0.25"/>
  <cols>
    <col min="1" max="1" width="2.7109375" style="4" customWidth="1"/>
    <col min="2" max="3" width="9" style="4"/>
    <col min="4" max="4" width="11" style="4" customWidth="1"/>
    <col min="5" max="5" width="8.28515625" style="4" customWidth="1"/>
    <col min="6" max="7" width="9" style="4"/>
    <col min="8" max="8" width="12.28515625" style="4" customWidth="1"/>
    <col min="9" max="9" width="10.140625" style="4" customWidth="1"/>
    <col min="10" max="10" width="14.28515625" style="4" bestFit="1" customWidth="1"/>
    <col min="11" max="11" width="11.42578125" style="4" customWidth="1"/>
    <col min="12" max="12" width="13.140625" style="4" customWidth="1"/>
    <col min="13" max="13" width="15" style="4" bestFit="1" customWidth="1"/>
    <col min="14" max="16384" width="9" style="4"/>
  </cols>
  <sheetData>
    <row r="1" spans="1:13" ht="19.5" x14ac:dyDescent="0.3">
      <c r="A1" s="272" t="str">
        <f>CoName</f>
        <v>Nike Inc.</v>
      </c>
    </row>
    <row r="2" spans="1:13" x14ac:dyDescent="0.25">
      <c r="G2" s="139"/>
    </row>
    <row r="3" spans="1:13" x14ac:dyDescent="0.25">
      <c r="A3" s="29" t="s">
        <v>125</v>
      </c>
      <c r="B3" s="158" t="s">
        <v>102</v>
      </c>
      <c r="C3" s="159"/>
      <c r="D3" s="159"/>
      <c r="E3" s="160"/>
      <c r="F3" s="11"/>
      <c r="G3" s="74" t="s">
        <v>109</v>
      </c>
      <c r="H3" s="74" t="s">
        <v>104</v>
      </c>
      <c r="I3" s="74" t="s">
        <v>105</v>
      </c>
      <c r="J3" s="74" t="s">
        <v>106</v>
      </c>
      <c r="K3" s="74" t="s">
        <v>107</v>
      </c>
      <c r="L3" s="74" t="s">
        <v>112</v>
      </c>
      <c r="M3" s="74" t="s">
        <v>108</v>
      </c>
    </row>
    <row r="4" spans="1:13" x14ac:dyDescent="0.25">
      <c r="A4" s="29"/>
      <c r="B4" s="275" t="s">
        <v>164</v>
      </c>
      <c r="C4" s="64"/>
      <c r="D4" s="69"/>
      <c r="E4" s="276">
        <v>0.2</v>
      </c>
      <c r="G4" s="131" t="s">
        <v>238</v>
      </c>
      <c r="H4" s="132">
        <v>1.07</v>
      </c>
      <c r="I4" s="76">
        <v>0</v>
      </c>
      <c r="J4" s="77">
        <v>20300</v>
      </c>
      <c r="K4" s="134">
        <v>0</v>
      </c>
      <c r="L4" s="148">
        <f>E4</f>
        <v>0.2</v>
      </c>
      <c r="M4" s="135">
        <f>H4/((1+K4*(1-L4)))</f>
        <v>1.07</v>
      </c>
    </row>
    <row r="5" spans="1:13" x14ac:dyDescent="0.25">
      <c r="A5" s="29"/>
      <c r="B5" s="64" t="s">
        <v>95</v>
      </c>
      <c r="C5" s="64"/>
      <c r="D5" s="69"/>
      <c r="E5" s="130">
        <v>4.0500000000000001E-2</v>
      </c>
      <c r="G5" s="131" t="s">
        <v>239</v>
      </c>
      <c r="H5" s="132">
        <v>1.06</v>
      </c>
      <c r="I5" s="76">
        <v>2600</v>
      </c>
      <c r="J5" s="77">
        <v>32598</v>
      </c>
      <c r="K5" s="134">
        <f>I5/J5</f>
        <v>7.9759494447512111E-2</v>
      </c>
      <c r="L5" s="148">
        <f>L4</f>
        <v>0.2</v>
      </c>
      <c r="M5" s="135">
        <f t="shared" ref="M5:M7" si="0">H5/((1+K5*(1-L5)))</f>
        <v>0.99642078551242863</v>
      </c>
    </row>
    <row r="6" spans="1:13" x14ac:dyDescent="0.25">
      <c r="A6" s="29"/>
      <c r="B6" s="64" t="s">
        <v>96</v>
      </c>
      <c r="C6" s="64"/>
      <c r="D6" s="69"/>
      <c r="E6" s="130">
        <v>0.05</v>
      </c>
      <c r="G6" s="131" t="s">
        <v>241</v>
      </c>
      <c r="H6" s="133">
        <v>1.04</v>
      </c>
      <c r="I6" s="78">
        <v>0</v>
      </c>
      <c r="J6" s="77">
        <v>19168</v>
      </c>
      <c r="K6" s="134">
        <v>0</v>
      </c>
      <c r="L6" s="148">
        <f t="shared" ref="L6:L7" si="1">L5</f>
        <v>0.2</v>
      </c>
      <c r="M6" s="135">
        <f t="shared" si="0"/>
        <v>1.04</v>
      </c>
    </row>
    <row r="7" spans="1:13" x14ac:dyDescent="0.25">
      <c r="A7" s="29"/>
      <c r="B7" s="64" t="s">
        <v>97</v>
      </c>
      <c r="C7" s="64"/>
      <c r="D7" s="69"/>
      <c r="E7" s="220">
        <f>M11</f>
        <v>1.1304248149306533</v>
      </c>
      <c r="G7" s="131" t="s">
        <v>242</v>
      </c>
      <c r="H7" s="133">
        <v>1.1499999999999999</v>
      </c>
      <c r="I7" s="78">
        <v>0</v>
      </c>
      <c r="J7" s="79">
        <v>15320.9</v>
      </c>
      <c r="K7" s="134">
        <v>0</v>
      </c>
      <c r="L7" s="148">
        <f t="shared" si="1"/>
        <v>0.2</v>
      </c>
      <c r="M7" s="135">
        <f t="shared" si="0"/>
        <v>1.1499999999999999</v>
      </c>
    </row>
    <row r="8" spans="1:13" x14ac:dyDescent="0.25">
      <c r="A8" s="29"/>
      <c r="B8" s="64" t="s">
        <v>98</v>
      </c>
      <c r="C8" s="64"/>
      <c r="D8" s="69"/>
      <c r="E8" s="130">
        <f>E5+E6*E7</f>
        <v>9.7021240746532678E-2</v>
      </c>
      <c r="L8" s="63"/>
    </row>
    <row r="9" spans="1:13" x14ac:dyDescent="0.25">
      <c r="A9" s="29"/>
      <c r="B9" s="65" t="s">
        <v>99</v>
      </c>
      <c r="C9" s="65"/>
      <c r="D9" s="70"/>
      <c r="E9" s="136">
        <f>1-E10</f>
        <v>0.92209461670439397</v>
      </c>
      <c r="G9" s="4" t="s">
        <v>110</v>
      </c>
      <c r="L9" s="29"/>
      <c r="M9" s="219">
        <f>AVERAGE(M4:M7)</f>
        <v>1.0641051963781072</v>
      </c>
    </row>
    <row r="10" spans="1:13" x14ac:dyDescent="0.25">
      <c r="A10" s="29"/>
      <c r="B10" s="66" t="s">
        <v>100</v>
      </c>
      <c r="C10" s="66"/>
      <c r="D10" s="71"/>
      <c r="E10" s="137">
        <f>Debt!E20/MAIN!F6</f>
        <v>7.790538329560609E-2</v>
      </c>
      <c r="M10" s="63"/>
    </row>
    <row r="11" spans="1:13" x14ac:dyDescent="0.25">
      <c r="A11" s="29"/>
      <c r="B11" s="157" t="s">
        <v>176</v>
      </c>
      <c r="C11" s="67"/>
      <c r="D11" s="72"/>
      <c r="E11" s="138">
        <f>Debt!E4</f>
        <v>3.1E-2</v>
      </c>
      <c r="G11" s="4" t="s">
        <v>111</v>
      </c>
      <c r="L11" s="29"/>
      <c r="M11" s="219">
        <f>M9*(1+E10*(1-E4))</f>
        <v>1.1304248149306533</v>
      </c>
    </row>
    <row r="12" spans="1:13" x14ac:dyDescent="0.25">
      <c r="A12" s="29"/>
      <c r="B12" s="68" t="s">
        <v>101</v>
      </c>
      <c r="C12" s="68"/>
      <c r="D12" s="73"/>
      <c r="E12" s="138">
        <f>E11*(1-E4)</f>
        <v>2.4800000000000003E-2</v>
      </c>
      <c r="M12" s="63"/>
    </row>
    <row r="13" spans="1:13" s="11" customFormat="1" x14ac:dyDescent="0.25">
      <c r="A13" s="26" t="s">
        <v>125</v>
      </c>
      <c r="B13" s="158" t="s">
        <v>102</v>
      </c>
      <c r="C13" s="159"/>
      <c r="D13" s="160"/>
      <c r="E13" s="154">
        <f>WACC!E8*WACC!E9+WACC!E12*WACC!E10</f>
        <v>9.1394817304089812E-2</v>
      </c>
      <c r="F13" s="4"/>
    </row>
    <row r="14" spans="1:13" s="11" customFormat="1" x14ac:dyDescent="0.25">
      <c r="A14" s="26"/>
      <c r="B14" s="74" t="s">
        <v>103</v>
      </c>
      <c r="C14" s="74"/>
      <c r="D14" s="108"/>
      <c r="E14" s="140">
        <v>0.03</v>
      </c>
      <c r="F14" s="4"/>
    </row>
    <row r="15" spans="1:13" x14ac:dyDescent="0.25">
      <c r="B15" s="63"/>
      <c r="C15" s="63"/>
      <c r="D15" s="63"/>
      <c r="E15" s="6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340EB-072D-4DA9-B457-4757931D9A4D}">
  <sheetPr codeName="Sheet14"/>
  <dimension ref="A1:Q45"/>
  <sheetViews>
    <sheetView showGridLines="0" zoomScaleNormal="100" workbookViewId="0">
      <selection activeCell="H20" sqref="H20"/>
    </sheetView>
  </sheetViews>
  <sheetFormatPr defaultColWidth="9" defaultRowHeight="15" x14ac:dyDescent="0.25"/>
  <cols>
    <col min="1" max="1" width="2" style="4" customWidth="1"/>
    <col min="2" max="2" width="22.42578125" style="4" bestFit="1" customWidth="1"/>
    <col min="3" max="3" width="12.7109375" style="4" customWidth="1"/>
    <col min="4" max="4" width="15.85546875" style="4" customWidth="1"/>
    <col min="5" max="5" width="10.42578125" style="4" customWidth="1"/>
    <col min="6" max="6" width="12.140625" style="4" customWidth="1"/>
    <col min="7" max="7" width="11.42578125" style="4" bestFit="1" customWidth="1"/>
    <col min="8" max="12" width="11.7109375" style="4" customWidth="1"/>
    <col min="13" max="16384" width="9" style="4"/>
  </cols>
  <sheetData>
    <row r="1" spans="1:14" ht="19.5" x14ac:dyDescent="0.3">
      <c r="A1" s="272" t="str">
        <f>CoName</f>
        <v>Nike Inc.</v>
      </c>
      <c r="B1" s="3"/>
      <c r="C1" s="3"/>
      <c r="D1" s="43" t="s">
        <v>1</v>
      </c>
      <c r="E1" s="43" t="s">
        <v>1</v>
      </c>
      <c r="F1" s="43" t="s">
        <v>1</v>
      </c>
      <c r="G1" s="43" t="s">
        <v>1</v>
      </c>
      <c r="H1" s="43" t="s">
        <v>1</v>
      </c>
      <c r="I1" s="43"/>
      <c r="J1" s="43"/>
      <c r="K1" s="43"/>
      <c r="L1" s="43"/>
      <c r="M1" s="43"/>
    </row>
    <row r="2" spans="1:14" x14ac:dyDescent="0.25">
      <c r="A2" s="74" t="s">
        <v>113</v>
      </c>
      <c r="B2" s="21"/>
      <c r="C2" s="44"/>
      <c r="D2" s="74">
        <v>0.5</v>
      </c>
      <c r="E2" s="74">
        <f>D2+1</f>
        <v>1.5</v>
      </c>
      <c r="F2" s="74">
        <f t="shared" ref="F2:H2" si="0">E2+1</f>
        <v>2.5</v>
      </c>
      <c r="G2" s="74">
        <f t="shared" si="0"/>
        <v>3.5</v>
      </c>
      <c r="H2" s="74">
        <f t="shared" si="0"/>
        <v>4.5</v>
      </c>
      <c r="I2" s="321"/>
      <c r="J2" s="321"/>
      <c r="K2" s="321"/>
      <c r="L2" s="155"/>
      <c r="M2" s="155"/>
      <c r="N2" s="155"/>
    </row>
    <row r="3" spans="1:14" x14ac:dyDescent="0.25">
      <c r="B3" s="4" t="s">
        <v>243</v>
      </c>
      <c r="D3" s="8">
        <f>1/(1+$L$7)^D2</f>
        <v>0.95721403208282896</v>
      </c>
      <c r="E3" s="8">
        <f t="shared" ref="E3:H3" si="1">1/(1+$L$7)^E2</f>
        <v>0.87705568773662712</v>
      </c>
      <c r="F3" s="8">
        <f t="shared" si="1"/>
        <v>0.80360990709401325</v>
      </c>
      <c r="G3" s="8">
        <f t="shared" si="1"/>
        <v>0.73631457136570555</v>
      </c>
      <c r="H3" s="8">
        <f t="shared" si="1"/>
        <v>0.67465463431878292</v>
      </c>
      <c r="I3" s="8"/>
      <c r="J3" s="8"/>
      <c r="K3" s="8"/>
    </row>
    <row r="4" spans="1:14" x14ac:dyDescent="0.25">
      <c r="B4" s="4" t="s">
        <v>244</v>
      </c>
      <c r="D4" s="4">
        <f>'Free Cash Flow'!F15*D3</f>
        <v>2386.1476541379711</v>
      </c>
      <c r="E4" s="4">
        <f>'Free Cash Flow'!G15*E3</f>
        <v>2170.9173929221211</v>
      </c>
      <c r="F4" s="4">
        <f>'Free Cash Flow'!H15*F3</f>
        <v>2407.6837669314987</v>
      </c>
      <c r="G4" s="4">
        <f>'Free Cash Flow'!I15*G3</f>
        <v>2649.5961509216095</v>
      </c>
      <c r="H4" s="4">
        <f>'Free Cash Flow'!J15*H3</f>
        <v>2898.7935811915404</v>
      </c>
    </row>
    <row r="5" spans="1:14" x14ac:dyDescent="0.25">
      <c r="G5" s="139"/>
      <c r="H5" s="4">
        <f>(H4*(1+L8))/(L7-L8)</f>
        <v>48632.075470454904</v>
      </c>
    </row>
    <row r="6" spans="1:14" x14ac:dyDescent="0.25">
      <c r="A6" s="74" t="s">
        <v>114</v>
      </c>
      <c r="B6" s="21"/>
      <c r="C6" s="44"/>
      <c r="D6" s="82"/>
      <c r="E6" s="74" t="s">
        <v>169</v>
      </c>
      <c r="F6" s="21"/>
      <c r="G6" s="44"/>
      <c r="H6" s="82" t="s">
        <v>165</v>
      </c>
    </row>
    <row r="7" spans="1:14" x14ac:dyDescent="0.25">
      <c r="B7" s="4" t="s">
        <v>115</v>
      </c>
      <c r="C7" s="4">
        <f>SUM(D4:H4)</f>
        <v>12513.138546104743</v>
      </c>
      <c r="E7" s="4" t="s">
        <v>115</v>
      </c>
      <c r="G7" s="4">
        <f>SUM(D4:H4)</f>
        <v>12513.138546104743</v>
      </c>
      <c r="J7" s="4" t="s">
        <v>102</v>
      </c>
      <c r="L7" s="8">
        <f>WACC!E13</f>
        <v>9.1394817304089812E-2</v>
      </c>
    </row>
    <row r="8" spans="1:14" x14ac:dyDescent="0.25">
      <c r="B8" s="4" t="s">
        <v>116</v>
      </c>
      <c r="C8" s="4">
        <f>H5*H3</f>
        <v>32809.855092683203</v>
      </c>
      <c r="E8" s="4" t="s">
        <v>170</v>
      </c>
      <c r="G8" s="4">
        <f>IncState!J24*G10</f>
        <v>83839.393130475539</v>
      </c>
      <c r="J8" s="4" t="s">
        <v>103</v>
      </c>
      <c r="L8" s="49">
        <v>0.03</v>
      </c>
    </row>
    <row r="9" spans="1:14" x14ac:dyDescent="0.25">
      <c r="B9" s="4" t="s">
        <v>117</v>
      </c>
      <c r="C9" s="4">
        <f>SUM(C7:C8)</f>
        <v>45322.993638787942</v>
      </c>
      <c r="E9" s="4" t="s">
        <v>117</v>
      </c>
      <c r="G9" s="4">
        <f>SUM(G7:G8)</f>
        <v>96352.531676580285</v>
      </c>
    </row>
    <row r="10" spans="1:14" x14ac:dyDescent="0.25">
      <c r="C10" s="81"/>
      <c r="E10" s="4" t="s">
        <v>118</v>
      </c>
      <c r="G10" s="81">
        <v>12</v>
      </c>
    </row>
    <row r="11" spans="1:14" x14ac:dyDescent="0.25">
      <c r="I11" s="155"/>
    </row>
    <row r="12" spans="1:14" x14ac:dyDescent="0.25">
      <c r="B12" s="29" t="s">
        <v>119</v>
      </c>
      <c r="C12" s="39">
        <f>MAIN!F7</f>
        <v>8575</v>
      </c>
      <c r="E12" s="29" t="s">
        <v>119</v>
      </c>
      <c r="F12" s="151"/>
      <c r="G12" s="39">
        <f>C12</f>
        <v>8575</v>
      </c>
      <c r="I12" s="155"/>
    </row>
    <row r="13" spans="1:14" x14ac:dyDescent="0.25">
      <c r="B13" s="29" t="s">
        <v>120</v>
      </c>
      <c r="C13" s="39">
        <f>MAIN!F8</f>
        <v>7996</v>
      </c>
      <c r="E13" s="29" t="s">
        <v>120</v>
      </c>
      <c r="F13" s="151"/>
      <c r="G13" s="39">
        <f t="shared" ref="G13:G14" si="2">C13</f>
        <v>7996</v>
      </c>
    </row>
    <row r="14" spans="1:14" x14ac:dyDescent="0.25">
      <c r="B14" s="29" t="s">
        <v>121</v>
      </c>
      <c r="C14" s="378">
        <v>0</v>
      </c>
      <c r="E14" s="4" t="s">
        <v>121</v>
      </c>
      <c r="F14" s="29"/>
      <c r="G14" s="39">
        <f t="shared" si="2"/>
        <v>0</v>
      </c>
    </row>
    <row r="15" spans="1:14" x14ac:dyDescent="0.25">
      <c r="B15" s="4" t="s">
        <v>122</v>
      </c>
      <c r="C15" s="63">
        <f>C9+C12-C13</f>
        <v>45901.993638787942</v>
      </c>
      <c r="E15" s="4" t="s">
        <v>122</v>
      </c>
      <c r="G15" s="63">
        <f>G9+G12-G13</f>
        <v>96931.531676580285</v>
      </c>
    </row>
    <row r="17" spans="1:17" x14ac:dyDescent="0.25">
      <c r="B17" s="4" t="s">
        <v>123</v>
      </c>
      <c r="C17" s="4">
        <f>Assumptions!J39</f>
        <v>1414.9</v>
      </c>
      <c r="E17" s="4" t="s">
        <v>123</v>
      </c>
      <c r="G17" s="4">
        <f>C17</f>
        <v>1414.9</v>
      </c>
    </row>
    <row r="18" spans="1:17" x14ac:dyDescent="0.25">
      <c r="A18" s="4" t="s">
        <v>125</v>
      </c>
      <c r="B18" s="141" t="s">
        <v>124</v>
      </c>
      <c r="C18" s="153">
        <f>C15/C17</f>
        <v>32.441864187425217</v>
      </c>
      <c r="E18" s="141" t="s">
        <v>124</v>
      </c>
      <c r="F18" s="151"/>
      <c r="G18" s="153">
        <f>G15/G17</f>
        <v>68.507690774316401</v>
      </c>
    </row>
    <row r="19" spans="1:17" x14ac:dyDescent="0.25">
      <c r="C19" s="23"/>
    </row>
    <row r="20" spans="1:17" x14ac:dyDescent="0.25">
      <c r="A20" s="109" t="s">
        <v>147</v>
      </c>
      <c r="B20" s="21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217"/>
    </row>
    <row r="21" spans="1:17" x14ac:dyDescent="0.25">
      <c r="B21" s="110"/>
      <c r="C21" s="110"/>
      <c r="D21" s="110"/>
      <c r="E21" s="110"/>
      <c r="F21" s="110"/>
      <c r="G21" s="110"/>
      <c r="H21" s="110"/>
      <c r="I21" s="110"/>
    </row>
    <row r="22" spans="1:17" x14ac:dyDescent="0.25">
      <c r="B22" s="110"/>
      <c r="C22" s="110" t="s">
        <v>148</v>
      </c>
      <c r="D22" s="110"/>
      <c r="E22" s="111">
        <v>5.0000000000000001E-3</v>
      </c>
      <c r="F22" s="110"/>
      <c r="G22" s="110"/>
      <c r="J22" s="110" t="s">
        <v>148</v>
      </c>
      <c r="K22" s="110"/>
      <c r="L22" s="111">
        <v>5.0000000000000001E-3</v>
      </c>
    </row>
    <row r="23" spans="1:17" x14ac:dyDescent="0.25">
      <c r="B23" s="110"/>
      <c r="C23" s="110" t="s">
        <v>149</v>
      </c>
      <c r="D23" s="110"/>
      <c r="E23" s="142">
        <v>2.5000000000000001E-3</v>
      </c>
      <c r="F23" s="110"/>
      <c r="G23" s="110"/>
      <c r="J23" s="110" t="s">
        <v>168</v>
      </c>
      <c r="K23" s="110"/>
      <c r="L23" s="150">
        <v>1</v>
      </c>
    </row>
    <row r="24" spans="1:17" x14ac:dyDescent="0.25">
      <c r="B24" s="110"/>
      <c r="C24" s="110"/>
      <c r="D24" s="110"/>
      <c r="E24" s="164"/>
      <c r="F24" s="110"/>
      <c r="G24" s="110"/>
      <c r="J24" s="110"/>
      <c r="K24" s="110"/>
      <c r="L24" s="163"/>
    </row>
    <row r="25" spans="1:17" x14ac:dyDescent="0.25">
      <c r="A25" s="145" t="s">
        <v>171</v>
      </c>
      <c r="B25" s="16"/>
      <c r="C25" s="143"/>
      <c r="D25" s="143"/>
      <c r="E25" s="144"/>
      <c r="F25" s="143"/>
      <c r="G25" s="143"/>
      <c r="H25" s="143"/>
      <c r="I25" s="143"/>
      <c r="J25" s="152"/>
      <c r="K25" s="16"/>
      <c r="L25" s="16"/>
      <c r="M25" s="16"/>
      <c r="N25" s="16"/>
      <c r="O25" s="16"/>
      <c r="P25" s="16"/>
    </row>
    <row r="26" spans="1:17" x14ac:dyDescent="0.25">
      <c r="B26" s="110"/>
      <c r="C26" s="110"/>
      <c r="D26" s="110"/>
      <c r="E26" s="110"/>
      <c r="F26" s="110"/>
      <c r="H26" s="110"/>
      <c r="I26" s="166"/>
      <c r="P26" s="166"/>
    </row>
    <row r="27" spans="1:17" x14ac:dyDescent="0.25">
      <c r="B27" s="155"/>
      <c r="C27" s="162"/>
      <c r="D27" s="110"/>
      <c r="E27" s="249"/>
      <c r="F27" s="250"/>
      <c r="G27" s="249"/>
      <c r="I27" s="110"/>
      <c r="J27" s="249"/>
    </row>
    <row r="28" spans="1:17" x14ac:dyDescent="0.25">
      <c r="B28" s="155"/>
      <c r="C28" s="251"/>
      <c r="E28" s="110"/>
      <c r="F28" s="252"/>
      <c r="G28" s="252"/>
      <c r="H28" s="252"/>
      <c r="I28" s="166"/>
      <c r="J28" s="166"/>
      <c r="N28" s="253"/>
      <c r="P28" s="166"/>
    </row>
    <row r="29" spans="1:17" x14ac:dyDescent="0.25">
      <c r="B29" s="155"/>
      <c r="C29" s="251"/>
      <c r="E29" s="254"/>
      <c r="F29" s="166"/>
      <c r="G29" s="166"/>
      <c r="H29" s="237"/>
      <c r="I29" s="237"/>
      <c r="J29" s="237"/>
      <c r="N29" s="255"/>
      <c r="O29" s="49"/>
      <c r="P29" s="49"/>
      <c r="Q29" s="49"/>
    </row>
    <row r="30" spans="1:17" x14ac:dyDescent="0.25">
      <c r="E30" s="232"/>
      <c r="F30" s="166"/>
      <c r="G30" s="256"/>
      <c r="H30" s="257"/>
      <c r="I30" s="257"/>
      <c r="J30" s="257"/>
      <c r="N30" s="258"/>
      <c r="O30" s="162"/>
      <c r="P30" s="162"/>
      <c r="Q30" s="162"/>
    </row>
    <row r="31" spans="1:17" x14ac:dyDescent="0.25">
      <c r="F31" s="237"/>
      <c r="G31" s="257"/>
      <c r="H31" s="238"/>
      <c r="I31" s="238"/>
      <c r="J31" s="238"/>
      <c r="K31" s="259"/>
      <c r="M31" s="49"/>
      <c r="N31" s="162"/>
      <c r="O31" s="81"/>
      <c r="P31" s="81"/>
      <c r="Q31" s="81"/>
    </row>
    <row r="32" spans="1:17" x14ac:dyDescent="0.25">
      <c r="F32" s="237"/>
      <c r="G32" s="257"/>
      <c r="H32" s="238"/>
      <c r="I32" s="238"/>
      <c r="J32" s="238"/>
      <c r="K32" s="259"/>
      <c r="M32" s="49"/>
      <c r="N32" s="162"/>
      <c r="O32" s="81"/>
      <c r="P32" s="81"/>
      <c r="Q32" s="81"/>
    </row>
    <row r="33" spans="2:17" x14ac:dyDescent="0.25">
      <c r="D33" s="49"/>
      <c r="E33" s="139"/>
      <c r="F33" s="237"/>
      <c r="G33" s="257"/>
      <c r="H33" s="238"/>
      <c r="I33" s="238"/>
      <c r="J33" s="238"/>
      <c r="K33" s="259"/>
      <c r="L33" s="139"/>
      <c r="M33" s="49"/>
      <c r="N33" s="162"/>
      <c r="O33" s="81"/>
      <c r="P33" s="81"/>
      <c r="Q33" s="81"/>
    </row>
    <row r="34" spans="2:17" x14ac:dyDescent="0.25">
      <c r="D34" s="49"/>
      <c r="E34" s="232"/>
      <c r="F34" s="237"/>
      <c r="G34" s="257"/>
      <c r="H34" s="238"/>
      <c r="I34" s="238"/>
      <c r="J34" s="238"/>
      <c r="K34" s="253"/>
      <c r="M34" s="49"/>
      <c r="N34" s="162"/>
      <c r="O34" s="81"/>
      <c r="P34" s="81"/>
      <c r="Q34" s="81"/>
    </row>
    <row r="35" spans="2:17" x14ac:dyDescent="0.25">
      <c r="D35" s="49"/>
      <c r="E35" s="232"/>
      <c r="F35" s="237"/>
      <c r="G35" s="257"/>
      <c r="H35" s="238"/>
      <c r="I35" s="238"/>
      <c r="J35" s="238"/>
      <c r="K35" s="253"/>
      <c r="M35" s="49"/>
      <c r="N35" s="162"/>
      <c r="O35" s="81"/>
      <c r="P35" s="81"/>
      <c r="Q35" s="81"/>
    </row>
    <row r="36" spans="2:17" x14ac:dyDescent="0.25">
      <c r="B36" s="260"/>
      <c r="C36" s="260"/>
      <c r="D36" s="260"/>
      <c r="E36" s="261"/>
      <c r="F36" s="262"/>
      <c r="G36" s="261"/>
    </row>
    <row r="37" spans="2:17" x14ac:dyDescent="0.25">
      <c r="B37" s="110"/>
      <c r="C37" s="110"/>
      <c r="D37" s="110"/>
      <c r="E37" s="110"/>
      <c r="F37" s="250"/>
      <c r="G37" s="250"/>
      <c r="H37" s="250"/>
      <c r="I37" s="166"/>
      <c r="J37" s="166"/>
      <c r="P37" s="166"/>
    </row>
    <row r="38" spans="2:17" x14ac:dyDescent="0.25">
      <c r="F38" s="239"/>
      <c r="G38" s="239"/>
      <c r="H38" s="237"/>
      <c r="I38" s="237"/>
      <c r="J38" s="237"/>
      <c r="M38" s="166"/>
      <c r="O38" s="81"/>
      <c r="P38" s="81"/>
      <c r="Q38" s="81"/>
    </row>
    <row r="39" spans="2:17" x14ac:dyDescent="0.25">
      <c r="E39" s="49"/>
      <c r="F39" s="236"/>
      <c r="G39" s="263"/>
      <c r="H39" s="257"/>
      <c r="I39" s="257"/>
      <c r="J39" s="257"/>
      <c r="L39" s="81"/>
      <c r="M39" s="81"/>
      <c r="N39" s="264"/>
      <c r="O39" s="165"/>
      <c r="P39" s="165"/>
      <c r="Q39" s="165"/>
    </row>
    <row r="40" spans="2:17" x14ac:dyDescent="0.25">
      <c r="E40" s="49"/>
      <c r="F40" s="237"/>
      <c r="G40" s="257"/>
      <c r="H40" s="236"/>
      <c r="I40" s="236"/>
      <c r="J40" s="236"/>
      <c r="K40" s="49"/>
      <c r="M40" s="49"/>
      <c r="N40" s="162"/>
      <c r="O40" s="265"/>
      <c r="P40" s="265"/>
      <c r="Q40" s="265"/>
    </row>
    <row r="41" spans="2:17" x14ac:dyDescent="0.25">
      <c r="D41" s="8"/>
      <c r="E41" s="49"/>
      <c r="F41" s="237"/>
      <c r="G41" s="257"/>
      <c r="H41" s="236"/>
      <c r="I41" s="236"/>
      <c r="J41" s="236"/>
      <c r="K41" s="8"/>
      <c r="L41" s="49"/>
      <c r="M41" s="49"/>
      <c r="N41" s="162"/>
      <c r="O41" s="265"/>
      <c r="P41" s="265"/>
      <c r="Q41" s="265"/>
    </row>
    <row r="42" spans="2:17" x14ac:dyDescent="0.25">
      <c r="D42" s="8"/>
      <c r="E42" s="139"/>
      <c r="F42" s="237"/>
      <c r="G42" s="257"/>
      <c r="H42" s="236"/>
      <c r="I42" s="236"/>
      <c r="J42" s="236"/>
      <c r="K42" s="8"/>
      <c r="L42" s="139"/>
      <c r="M42" s="49"/>
      <c r="N42" s="162"/>
      <c r="O42" s="265"/>
      <c r="P42" s="265"/>
      <c r="Q42" s="265"/>
    </row>
    <row r="43" spans="2:17" x14ac:dyDescent="0.25">
      <c r="D43" s="8"/>
      <c r="E43" s="49"/>
      <c r="F43" s="237"/>
      <c r="G43" s="257"/>
      <c r="H43" s="236"/>
      <c r="I43" s="236"/>
      <c r="J43" s="236"/>
      <c r="K43" s="8"/>
      <c r="L43" s="49"/>
      <c r="M43" s="49"/>
      <c r="N43" s="162"/>
      <c r="O43" s="265"/>
      <c r="P43" s="265"/>
      <c r="Q43" s="265"/>
    </row>
    <row r="44" spans="2:17" x14ac:dyDescent="0.25">
      <c r="D44" s="8"/>
      <c r="E44" s="8"/>
      <c r="F44" s="237"/>
      <c r="G44" s="257"/>
      <c r="H44" s="236"/>
      <c r="I44" s="236"/>
      <c r="J44" s="236"/>
      <c r="K44" s="8"/>
      <c r="L44" s="49"/>
      <c r="M44" s="49"/>
      <c r="N44" s="162"/>
      <c r="O44" s="265"/>
      <c r="P44" s="265"/>
      <c r="Q44" s="265"/>
    </row>
    <row r="45" spans="2:17" x14ac:dyDescent="0.25">
      <c r="D45" s="8"/>
      <c r="E45" s="8"/>
      <c r="F45" s="81"/>
      <c r="G45" s="81"/>
      <c r="H45" s="81"/>
      <c r="J45" s="8"/>
      <c r="K45" s="8"/>
      <c r="L45" s="49"/>
      <c r="M45" s="49"/>
      <c r="N45" s="49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F967-9893-4C24-9902-E3B112D5E747}">
  <sheetPr codeName="Sheet15"/>
  <dimension ref="A1:M36"/>
  <sheetViews>
    <sheetView showGridLines="0" tabSelected="1" zoomScaleNormal="100" workbookViewId="0">
      <selection activeCell="K11" sqref="K11"/>
    </sheetView>
  </sheetViews>
  <sheetFormatPr defaultColWidth="9.140625" defaultRowHeight="15" x14ac:dyDescent="0.25"/>
  <cols>
    <col min="1" max="1" width="2.140625" style="4" bestFit="1" customWidth="1"/>
    <col min="2" max="2" width="22.7109375" style="4" bestFit="1" customWidth="1"/>
    <col min="3" max="3" width="14.42578125" style="4" bestFit="1" customWidth="1"/>
    <col min="4" max="4" width="12.42578125" style="4" customWidth="1"/>
    <col min="5" max="5" width="12.140625" style="4" bestFit="1" customWidth="1"/>
    <col min="6" max="6" width="11.28515625" style="4" customWidth="1"/>
    <col min="7" max="8" width="12.140625" style="4" bestFit="1" customWidth="1"/>
    <col min="9" max="9" width="12" style="4" customWidth="1"/>
    <col min="10" max="13" width="11.42578125" style="4" bestFit="1" customWidth="1"/>
    <col min="14" max="16384" width="9.140625" style="4"/>
  </cols>
  <sheetData>
    <row r="1" spans="1:13" ht="19.5" x14ac:dyDescent="0.3">
      <c r="A1" s="272" t="str">
        <f>CoName</f>
        <v>Nike Inc.</v>
      </c>
    </row>
    <row r="2" spans="1:13" ht="30" x14ac:dyDescent="0.25">
      <c r="A2" s="4" t="s">
        <v>125</v>
      </c>
      <c r="B2" s="226"/>
      <c r="C2" s="225" t="s">
        <v>181</v>
      </c>
      <c r="D2" s="225" t="s">
        <v>177</v>
      </c>
      <c r="E2" s="225" t="s">
        <v>182</v>
      </c>
      <c r="F2" s="225" t="s">
        <v>178</v>
      </c>
      <c r="G2" s="227" t="s">
        <v>184</v>
      </c>
      <c r="H2" s="227" t="s">
        <v>183</v>
      </c>
      <c r="I2" s="227" t="s">
        <v>185</v>
      </c>
      <c r="J2" s="227" t="s">
        <v>186</v>
      </c>
    </row>
    <row r="3" spans="1:13" x14ac:dyDescent="0.25">
      <c r="A3" s="29"/>
      <c r="B3" s="4" t="s">
        <v>246</v>
      </c>
      <c r="C3" s="166" t="s">
        <v>239</v>
      </c>
      <c r="D3" s="379">
        <v>214.75</v>
      </c>
      <c r="E3" s="380">
        <v>44100</v>
      </c>
      <c r="F3" s="236">
        <v>12.1</v>
      </c>
      <c r="G3" s="236">
        <v>20</v>
      </c>
      <c r="H3" s="236">
        <v>26.6</v>
      </c>
      <c r="I3" s="381">
        <v>1.5</v>
      </c>
    </row>
    <row r="4" spans="1:13" x14ac:dyDescent="0.25">
      <c r="A4" s="29"/>
      <c r="B4" s="4" t="s">
        <v>251</v>
      </c>
      <c r="C4" s="166" t="s">
        <v>251</v>
      </c>
      <c r="D4" s="379">
        <v>15.89</v>
      </c>
      <c r="E4" s="380">
        <v>11000</v>
      </c>
      <c r="F4" s="236">
        <v>14.6</v>
      </c>
      <c r="G4" s="236">
        <v>21.9</v>
      </c>
      <c r="H4" s="236">
        <f>16.36/0.55</f>
        <v>29.745454545454542</v>
      </c>
      <c r="I4" s="381">
        <v>1.2</v>
      </c>
      <c r="K4" s="4">
        <f>MAIN!F7</f>
        <v>8575</v>
      </c>
    </row>
    <row r="5" spans="1:13" x14ac:dyDescent="0.25">
      <c r="A5" s="29"/>
      <c r="B5" s="4" t="s">
        <v>245</v>
      </c>
      <c r="C5" s="166" t="s">
        <v>238</v>
      </c>
      <c r="D5" s="379">
        <v>178.83</v>
      </c>
      <c r="E5" s="380">
        <v>21700</v>
      </c>
      <c r="F5" s="236">
        <v>10</v>
      </c>
      <c r="G5" s="236">
        <v>35.299999999999997</v>
      </c>
      <c r="H5" s="236">
        <v>12.1</v>
      </c>
      <c r="I5" s="381">
        <v>2</v>
      </c>
      <c r="K5" s="4">
        <f>MAIN!F8</f>
        <v>7996</v>
      </c>
    </row>
    <row r="6" spans="1:13" x14ac:dyDescent="0.25">
      <c r="A6" s="29"/>
      <c r="B6" s="4" t="s">
        <v>247</v>
      </c>
      <c r="C6" s="166" t="s">
        <v>249</v>
      </c>
      <c r="D6" s="379">
        <v>4.68</v>
      </c>
      <c r="E6" s="380">
        <v>2800</v>
      </c>
      <c r="F6" s="236">
        <v>8</v>
      </c>
      <c r="G6" s="236">
        <v>12.8</v>
      </c>
      <c r="H6" s="236">
        <v>19.899999999999999</v>
      </c>
      <c r="I6" s="381">
        <v>0.5</v>
      </c>
    </row>
    <row r="7" spans="1:13" x14ac:dyDescent="0.25">
      <c r="A7" s="29"/>
      <c r="B7" s="4" t="s">
        <v>248</v>
      </c>
      <c r="C7" s="166" t="s">
        <v>242</v>
      </c>
      <c r="D7" s="379">
        <v>103.35</v>
      </c>
      <c r="E7" s="380">
        <v>11800</v>
      </c>
      <c r="F7" s="236">
        <v>9</v>
      </c>
      <c r="G7" s="236">
        <v>9.6</v>
      </c>
      <c r="H7" s="382">
        <v>12.9</v>
      </c>
      <c r="I7" s="383">
        <v>2.2999999999999998</v>
      </c>
    </row>
    <row r="8" spans="1:13" x14ac:dyDescent="0.25">
      <c r="A8" s="29" t="s">
        <v>125</v>
      </c>
      <c r="B8" s="222" t="s">
        <v>179</v>
      </c>
      <c r="C8" s="222"/>
      <c r="D8" s="228"/>
      <c r="E8" s="230"/>
      <c r="F8" s="384">
        <f>AVERAGE(F3:F7)</f>
        <v>10.74</v>
      </c>
      <c r="G8" s="384">
        <f t="shared" ref="G8:I8" si="0">AVERAGE(G3:G7)</f>
        <v>19.919999999999995</v>
      </c>
      <c r="H8" s="384">
        <f t="shared" si="0"/>
        <v>20.24909090909091</v>
      </c>
      <c r="I8" s="385">
        <f t="shared" si="0"/>
        <v>1.5</v>
      </c>
    </row>
    <row r="9" spans="1:13" x14ac:dyDescent="0.25">
      <c r="B9" s="63"/>
      <c r="C9" s="221"/>
      <c r="D9" s="229"/>
      <c r="E9" s="192"/>
      <c r="F9" s="221"/>
      <c r="G9" s="63"/>
      <c r="H9" s="63"/>
      <c r="I9" s="39"/>
    </row>
    <row r="10" spans="1:13" x14ac:dyDescent="0.25">
      <c r="A10" s="4" t="s">
        <v>125</v>
      </c>
      <c r="B10" s="11" t="s">
        <v>250</v>
      </c>
      <c r="C10" s="81" t="s">
        <v>240</v>
      </c>
      <c r="D10" s="379">
        <f>MAIN!F4</f>
        <v>69.13</v>
      </c>
      <c r="E10" s="380">
        <f>MAIN!F9</f>
        <v>101609.06022418999</v>
      </c>
      <c r="F10" s="236">
        <v>24</v>
      </c>
      <c r="G10" s="236">
        <v>30</v>
      </c>
      <c r="H10" s="236">
        <v>35</v>
      </c>
      <c r="I10" s="381">
        <v>2.2999999999999998</v>
      </c>
      <c r="J10" s="165"/>
      <c r="K10" s="165"/>
      <c r="L10" s="165"/>
      <c r="M10" s="165"/>
    </row>
    <row r="11" spans="1:13" x14ac:dyDescent="0.25">
      <c r="A11" s="60"/>
      <c r="B11" s="222" t="s">
        <v>180</v>
      </c>
      <c r="C11" s="386"/>
      <c r="D11" s="387"/>
      <c r="E11" s="387"/>
      <c r="F11" s="395">
        <f>(F10-F8)/F8</f>
        <v>1.2346368715083798</v>
      </c>
      <c r="G11" s="395">
        <f t="shared" ref="G11:I11" si="1">(G10-G8)/G8</f>
        <v>0.50602409638554258</v>
      </c>
      <c r="H11" s="395">
        <f t="shared" si="1"/>
        <v>0.72847265870521682</v>
      </c>
      <c r="I11" s="396">
        <f t="shared" si="1"/>
        <v>0.53333333333333321</v>
      </c>
      <c r="J11" s="397">
        <f>AVERAGE(F11:I11)</f>
        <v>0.75061673998311806</v>
      </c>
    </row>
    <row r="12" spans="1:13" x14ac:dyDescent="0.25">
      <c r="A12" s="139"/>
      <c r="B12" s="223"/>
      <c r="C12" s="224"/>
      <c r="D12" s="224"/>
      <c r="E12" s="224"/>
      <c r="F12" s="224"/>
      <c r="G12" s="63"/>
      <c r="H12" s="63"/>
      <c r="I12" s="63"/>
      <c r="J12" s="231"/>
    </row>
    <row r="13" spans="1:13" x14ac:dyDescent="0.25">
      <c r="E13" s="166" t="s">
        <v>252</v>
      </c>
      <c r="F13" s="388">
        <f>F8*4200</f>
        <v>45108</v>
      </c>
      <c r="G13" s="388">
        <f>G8*3400</f>
        <v>67727.999999999985</v>
      </c>
      <c r="H13" s="388">
        <f>H8*2900</f>
        <v>58722.36363636364</v>
      </c>
      <c r="I13" s="390">
        <f>I8*46500</f>
        <v>69750</v>
      </c>
      <c r="J13" s="393">
        <f t="shared" ref="J13:J14" si="2">AVERAGE(F13:I13)</f>
        <v>60327.090909090904</v>
      </c>
    </row>
    <row r="14" spans="1:13" x14ac:dyDescent="0.25">
      <c r="A14" s="139"/>
      <c r="E14" s="389" t="s">
        <v>173</v>
      </c>
      <c r="F14" s="391">
        <f>(F13-$K$5+$K$4)/'DCF Model'!$C$17</f>
        <v>32.289914481588802</v>
      </c>
      <c r="G14" s="391">
        <f>(G13-$K$5+$K$4)/'DCF Model'!$C$17</f>
        <v>48.276910028977298</v>
      </c>
      <c r="H14" s="391">
        <f>(H13-$K$5+$K$4)/'DCF Model'!$C$17</f>
        <v>41.912052891627418</v>
      </c>
      <c r="I14" s="392">
        <f>(I13-$K$5+$K$4)/'DCF Model'!$C$17</f>
        <v>49.705986288783656</v>
      </c>
      <c r="J14" s="394">
        <f t="shared" si="2"/>
        <v>43.046215922744295</v>
      </c>
    </row>
    <row r="15" spans="1:13" x14ac:dyDescent="0.25">
      <c r="A15" s="139"/>
      <c r="B15" s="139"/>
      <c r="C15" s="139"/>
      <c r="D15" s="139"/>
      <c r="E15" s="139"/>
      <c r="F15" s="139"/>
      <c r="J15" s="8"/>
    </row>
    <row r="16" spans="1:13" x14ac:dyDescent="0.25">
      <c r="B16" s="12"/>
      <c r="C16" s="8"/>
      <c r="D16" s="266"/>
      <c r="E16" s="267"/>
      <c r="F16" s="268"/>
      <c r="G16" s="268"/>
      <c r="H16" s="268"/>
      <c r="I16" s="268"/>
      <c r="J16" s="8"/>
    </row>
    <row r="17" spans="1:10" x14ac:dyDescent="0.25">
      <c r="D17" s="8"/>
      <c r="E17" s="8"/>
      <c r="F17" s="8"/>
      <c r="G17" s="8"/>
      <c r="H17" s="8"/>
      <c r="I17" s="8"/>
      <c r="J17" s="12"/>
    </row>
    <row r="18" spans="1:10" x14ac:dyDescent="0.25">
      <c r="D18" s="166"/>
    </row>
    <row r="20" spans="1:10" x14ac:dyDescent="0.25">
      <c r="D20" s="269"/>
      <c r="E20" s="269"/>
      <c r="F20" s="269"/>
    </row>
    <row r="21" spans="1:10" x14ac:dyDescent="0.25">
      <c r="C21" s="269"/>
      <c r="E21" s="269"/>
    </row>
    <row r="22" spans="1:10" x14ac:dyDescent="0.25">
      <c r="C22" s="269"/>
      <c r="D22" s="269"/>
      <c r="E22" s="269"/>
    </row>
    <row r="23" spans="1:10" x14ac:dyDescent="0.25">
      <c r="C23" s="269"/>
      <c r="D23" s="269"/>
      <c r="E23" s="269"/>
    </row>
    <row r="24" spans="1:10" x14ac:dyDescent="0.25">
      <c r="C24" s="269"/>
      <c r="D24" s="269"/>
      <c r="E24" s="269"/>
    </row>
    <row r="25" spans="1:10" x14ac:dyDescent="0.25">
      <c r="C25" s="269"/>
      <c r="D25" s="269"/>
      <c r="E25" s="269"/>
      <c r="G25" s="269"/>
    </row>
    <row r="26" spans="1:10" x14ac:dyDescent="0.25">
      <c r="C26" s="269"/>
      <c r="D26" s="269"/>
    </row>
    <row r="28" spans="1:10" x14ac:dyDescent="0.25">
      <c r="A28" s="32"/>
      <c r="D28" s="269"/>
    </row>
    <row r="29" spans="1:10" x14ac:dyDescent="0.25">
      <c r="C29" s="270"/>
      <c r="D29" s="270"/>
    </row>
    <row r="30" spans="1:10" x14ac:dyDescent="0.25">
      <c r="C30" s="270"/>
      <c r="D30" s="270"/>
    </row>
    <row r="31" spans="1:10" x14ac:dyDescent="0.25">
      <c r="C31" s="270"/>
      <c r="D31" s="270"/>
    </row>
    <row r="32" spans="1:10" x14ac:dyDescent="0.25">
      <c r="C32" s="270"/>
      <c r="D32" s="270"/>
    </row>
    <row r="33" spans="2:5" x14ac:dyDescent="0.25">
      <c r="C33" s="270"/>
      <c r="D33" s="270"/>
    </row>
    <row r="34" spans="2:5" x14ac:dyDescent="0.25">
      <c r="C34" s="270"/>
      <c r="D34" s="270"/>
      <c r="E34" s="270"/>
    </row>
    <row r="36" spans="2:5" x14ac:dyDescent="0.25">
      <c r="B36" s="1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D903-117B-4DF0-8D7B-7A5309212F7B}">
  <dimension ref="A1:S86"/>
  <sheetViews>
    <sheetView showGridLines="0"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5" sqref="O5"/>
    </sheetView>
  </sheetViews>
  <sheetFormatPr defaultColWidth="11.7109375" defaultRowHeight="15" x14ac:dyDescent="0.25"/>
  <cols>
    <col min="1" max="1" width="3.28515625" style="4" customWidth="1"/>
    <col min="2" max="2" width="26.5703125" style="4" bestFit="1" customWidth="1"/>
    <col min="3" max="3" width="11.7109375" style="4"/>
    <col min="4" max="4" width="11.5703125" style="4" customWidth="1"/>
    <col min="5" max="7" width="11.7109375" style="4" hidden="1" customWidth="1"/>
    <col min="8" max="8" width="16.42578125" style="4" hidden="1" customWidth="1"/>
    <col min="9" max="9" width="11.7109375" style="4"/>
    <col min="10" max="10" width="11.7109375" style="345"/>
    <col min="11" max="16384" width="11.7109375" style="4"/>
  </cols>
  <sheetData>
    <row r="1" spans="1:19" ht="19.5" x14ac:dyDescent="0.3">
      <c r="A1" s="272" t="str">
        <f>CoName</f>
        <v>Nike Inc.</v>
      </c>
      <c r="C1" s="43"/>
      <c r="D1" s="43"/>
      <c r="E1" s="43"/>
      <c r="F1" s="43"/>
      <c r="G1" s="43"/>
      <c r="H1" s="43"/>
      <c r="J1" s="4"/>
    </row>
    <row r="2" spans="1:19" s="313" customFormat="1" x14ac:dyDescent="0.25">
      <c r="A2" s="332" t="s">
        <v>196</v>
      </c>
      <c r="B2" s="331"/>
      <c r="C2" s="331">
        <v>2023</v>
      </c>
      <c r="D2" s="331">
        <v>2024</v>
      </c>
      <c r="E2" s="331" t="s">
        <v>203</v>
      </c>
      <c r="F2" s="331" t="s">
        <v>204</v>
      </c>
      <c r="G2" s="331" t="s">
        <v>205</v>
      </c>
      <c r="H2" s="331" t="s">
        <v>206</v>
      </c>
      <c r="I2" s="331">
        <v>2025</v>
      </c>
      <c r="J2" s="331" t="s">
        <v>207</v>
      </c>
      <c r="K2" s="331" t="s">
        <v>208</v>
      </c>
      <c r="L2" s="331" t="s">
        <v>209</v>
      </c>
      <c r="M2" s="331" t="s">
        <v>210</v>
      </c>
      <c r="N2" s="331">
        <v>2026</v>
      </c>
      <c r="O2" s="331">
        <f>N2+1</f>
        <v>2027</v>
      </c>
      <c r="P2" s="331">
        <f t="shared" ref="P2:R2" si="0">O2+1</f>
        <v>2028</v>
      </c>
      <c r="Q2" s="331">
        <f t="shared" si="0"/>
        <v>2029</v>
      </c>
      <c r="R2" s="331">
        <f t="shared" si="0"/>
        <v>2030</v>
      </c>
      <c r="S2" s="364" t="s">
        <v>219</v>
      </c>
    </row>
    <row r="3" spans="1:19" s="269" customFormat="1" x14ac:dyDescent="0.25">
      <c r="B3" s="334" t="s">
        <v>197</v>
      </c>
      <c r="C3" s="269">
        <v>14897</v>
      </c>
      <c r="D3" s="345">
        <v>14537</v>
      </c>
      <c r="E3" s="345">
        <v>3212</v>
      </c>
      <c r="F3" s="345">
        <v>3236</v>
      </c>
      <c r="G3" s="345">
        <v>3132</v>
      </c>
      <c r="H3" s="345">
        <v>3104</v>
      </c>
      <c r="I3" s="334">
        <f>SUM(E3:H3)</f>
        <v>12684</v>
      </c>
      <c r="J3" s="345">
        <v>3219</v>
      </c>
      <c r="K3" s="350">
        <f>F3*(1+K5)</f>
        <v>3355.8904639175257</v>
      </c>
      <c r="L3" s="350">
        <f t="shared" ref="L3:M3" si="1">G3*(1+L5)</f>
        <v>3319.92</v>
      </c>
      <c r="M3" s="358">
        <f t="shared" si="1"/>
        <v>3290.2400000000002</v>
      </c>
      <c r="N3" s="350">
        <f>SUM(J3:M3)</f>
        <v>13185.050463917525</v>
      </c>
      <c r="O3" s="350">
        <f>N3*(1+O5)</f>
        <v>13705.893703567623</v>
      </c>
      <c r="P3" s="350">
        <f t="shared" ref="P3:R3" si="2">O3*(1+P5)</f>
        <v>14247.311584250123</v>
      </c>
      <c r="Q3" s="350">
        <f t="shared" si="2"/>
        <v>14810.116856945333</v>
      </c>
      <c r="R3" s="358">
        <f t="shared" si="2"/>
        <v>15395.154378377469</v>
      </c>
      <c r="S3" s="187">
        <f>((R3/N3)^(1/5))-1</f>
        <v>3.147914211215963E-2</v>
      </c>
    </row>
    <row r="4" spans="1:19" s="187" customFormat="1" x14ac:dyDescent="0.25">
      <c r="B4" s="335" t="s">
        <v>214</v>
      </c>
      <c r="D4" s="353"/>
      <c r="E4" s="353"/>
      <c r="F4" s="353">
        <f>F3/E3-1</f>
        <v>7.4719800747198306E-3</v>
      </c>
      <c r="G4" s="353">
        <f t="shared" ref="G4:H4" si="3">G3/F3-1</f>
        <v>-3.2138442521631672E-2</v>
      </c>
      <c r="H4" s="353">
        <f t="shared" si="3"/>
        <v>-8.9399744572158379E-3</v>
      </c>
      <c r="I4" s="335"/>
      <c r="J4" s="353">
        <f>J3/H3-1</f>
        <v>3.7048969072164928E-2</v>
      </c>
      <c r="K4" s="351"/>
      <c r="L4" s="351"/>
      <c r="M4" s="359"/>
      <c r="N4" s="351"/>
      <c r="O4" s="351"/>
      <c r="P4" s="351"/>
      <c r="Q4" s="351"/>
      <c r="R4" s="359"/>
    </row>
    <row r="5" spans="1:19" s="187" customFormat="1" x14ac:dyDescent="0.25">
      <c r="B5" s="335" t="s">
        <v>215</v>
      </c>
      <c r="D5" s="353">
        <f>D3/C3-1</f>
        <v>-2.4165939450896179E-2</v>
      </c>
      <c r="E5" s="353"/>
      <c r="F5" s="353"/>
      <c r="G5" s="353"/>
      <c r="H5" s="353"/>
      <c r="I5" s="335">
        <f>I3/D3-1</f>
        <v>-0.12746784068239669</v>
      </c>
      <c r="J5" s="353">
        <f>J3/H3-1</f>
        <v>3.7048969072164928E-2</v>
      </c>
      <c r="K5" s="357">
        <f>J5</f>
        <v>3.7048969072164928E-2</v>
      </c>
      <c r="L5" s="357">
        <v>0.06</v>
      </c>
      <c r="M5" s="360">
        <f t="shared" ref="L5:R5" si="4">L5</f>
        <v>0.06</v>
      </c>
      <c r="N5" s="357">
        <f>N3/I3-1</f>
        <v>3.9502559438467699E-2</v>
      </c>
      <c r="O5" s="357">
        <f t="shared" si="4"/>
        <v>3.9502559438467699E-2</v>
      </c>
      <c r="P5" s="357">
        <f t="shared" si="4"/>
        <v>3.9502559438467699E-2</v>
      </c>
      <c r="Q5" s="357">
        <f t="shared" si="4"/>
        <v>3.9502559438467699E-2</v>
      </c>
      <c r="R5" s="360">
        <f t="shared" si="4"/>
        <v>3.9502559438467699E-2</v>
      </c>
    </row>
    <row r="6" spans="1:19" s="330" customFormat="1" x14ac:dyDescent="0.25">
      <c r="B6" s="336" t="s">
        <v>201</v>
      </c>
      <c r="D6" s="341"/>
      <c r="E6" s="341"/>
      <c r="F6" s="341"/>
      <c r="G6" s="341"/>
      <c r="H6" s="341"/>
      <c r="I6" s="336"/>
      <c r="J6" s="341"/>
      <c r="K6" s="352"/>
      <c r="L6" s="352"/>
      <c r="M6" s="361"/>
      <c r="N6" s="352"/>
      <c r="O6" s="352"/>
      <c r="P6" s="352"/>
      <c r="Q6" s="352"/>
      <c r="R6" s="361"/>
    </row>
    <row r="7" spans="1:19" s="269" customFormat="1" x14ac:dyDescent="0.25">
      <c r="B7" s="334" t="s">
        <v>198</v>
      </c>
      <c r="C7" s="269">
        <v>5947</v>
      </c>
      <c r="D7" s="345">
        <v>5953</v>
      </c>
      <c r="E7" s="345">
        <v>1331</v>
      </c>
      <c r="F7" s="345">
        <v>1693</v>
      </c>
      <c r="G7" s="345">
        <v>1510</v>
      </c>
      <c r="H7" s="345">
        <v>1303</v>
      </c>
      <c r="I7" s="334">
        <f>SUM(E7:H7)</f>
        <v>5837</v>
      </c>
      <c r="J7" s="345">
        <v>1474</v>
      </c>
      <c r="K7" s="350">
        <f>F7*(1+K9)</f>
        <v>1915.1818879508826</v>
      </c>
      <c r="L7" s="350">
        <f t="shared" ref="L7" si="5">G7*(1+L9)</f>
        <v>1708.1657712970068</v>
      </c>
      <c r="M7" s="358">
        <f t="shared" ref="M7" si="6">H7*(1+M9)</f>
        <v>1474</v>
      </c>
      <c r="N7" s="350">
        <f>SUM(J7:M7)</f>
        <v>6571.3476592478892</v>
      </c>
      <c r="O7" s="350">
        <f>N7*(1+O9)</f>
        <v>7398.082929364864</v>
      </c>
      <c r="P7" s="350">
        <f t="shared" ref="P7:R7" si="7">O7*(1+P9)</f>
        <v>8328.8290116161661</v>
      </c>
      <c r="Q7" s="350">
        <f t="shared" si="7"/>
        <v>9376.6714116429321</v>
      </c>
      <c r="R7" s="358">
        <f t="shared" si="7"/>
        <v>10556.341910645258</v>
      </c>
      <c r="S7" s="187">
        <f>((R7/N7)^(1/5))-1</f>
        <v>9.9440676668238748E-2</v>
      </c>
    </row>
    <row r="8" spans="1:19" s="187" customFormat="1" x14ac:dyDescent="0.25">
      <c r="B8" s="335" t="s">
        <v>214</v>
      </c>
      <c r="D8" s="353"/>
      <c r="E8" s="353"/>
      <c r="F8" s="353">
        <f>F7/E7-1</f>
        <v>0.27197595792637119</v>
      </c>
      <c r="G8" s="353">
        <f t="shared" ref="G8" si="8">G7/F7-1</f>
        <v>-0.10809214412285884</v>
      </c>
      <c r="H8" s="353">
        <f t="shared" ref="H8" si="9">H7/G7-1</f>
        <v>-0.13708609271523176</v>
      </c>
      <c r="I8" s="335"/>
      <c r="J8" s="353">
        <f>J7/H7-1</f>
        <v>0.13123561013046814</v>
      </c>
      <c r="K8" s="351"/>
      <c r="L8" s="351"/>
      <c r="M8" s="359"/>
      <c r="N8" s="351"/>
      <c r="O8" s="351"/>
      <c r="P8" s="351"/>
      <c r="Q8" s="351"/>
      <c r="R8" s="359"/>
    </row>
    <row r="9" spans="1:19" s="187" customFormat="1" x14ac:dyDescent="0.25">
      <c r="B9" s="335" t="s">
        <v>215</v>
      </c>
      <c r="D9" s="353">
        <f>D7/C7-1</f>
        <v>1.0089120564991116E-3</v>
      </c>
      <c r="E9" s="353"/>
      <c r="F9" s="353"/>
      <c r="G9" s="353"/>
      <c r="H9" s="353"/>
      <c r="I9" s="335">
        <f>I7/D7-1</f>
        <v>-1.9485973458760242E-2</v>
      </c>
      <c r="J9" s="353">
        <f>J7/H7-1</f>
        <v>0.13123561013046814</v>
      </c>
      <c r="K9" s="357">
        <f>J9</f>
        <v>0.13123561013046814</v>
      </c>
      <c r="L9" s="357">
        <f>K9</f>
        <v>0.13123561013046814</v>
      </c>
      <c r="M9" s="360">
        <f t="shared" ref="L9:R9" si="10">L9</f>
        <v>0.13123561013046814</v>
      </c>
      <c r="N9" s="357">
        <f>N7/I7-1</f>
        <v>0.1258090901572535</v>
      </c>
      <c r="O9" s="357">
        <f t="shared" si="10"/>
        <v>0.1258090901572535</v>
      </c>
      <c r="P9" s="357">
        <f t="shared" si="10"/>
        <v>0.1258090901572535</v>
      </c>
      <c r="Q9" s="357">
        <f t="shared" si="10"/>
        <v>0.1258090901572535</v>
      </c>
      <c r="R9" s="360">
        <f t="shared" si="10"/>
        <v>0.1258090901572535</v>
      </c>
    </row>
    <row r="10" spans="1:19" s="330" customFormat="1" x14ac:dyDescent="0.25">
      <c r="B10" s="336" t="s">
        <v>201</v>
      </c>
      <c r="D10" s="341"/>
      <c r="E10" s="341"/>
      <c r="F10" s="341"/>
      <c r="G10" s="341"/>
      <c r="H10" s="341"/>
      <c r="I10" s="336"/>
      <c r="J10" s="341"/>
      <c r="K10" s="352"/>
      <c r="L10" s="352"/>
      <c r="M10" s="361"/>
      <c r="N10" s="352"/>
      <c r="O10" s="352"/>
      <c r="P10" s="352"/>
      <c r="Q10" s="352"/>
      <c r="R10" s="361"/>
    </row>
    <row r="11" spans="1:19" s="269" customFormat="1" x14ac:dyDescent="0.25">
      <c r="B11" s="334" t="s">
        <v>199</v>
      </c>
      <c r="C11" s="269">
        <v>764</v>
      </c>
      <c r="D11" s="345">
        <v>906</v>
      </c>
      <c r="E11" s="345">
        <v>283</v>
      </c>
      <c r="F11" s="345">
        <v>250</v>
      </c>
      <c r="G11" s="345">
        <v>222</v>
      </c>
      <c r="H11" s="345">
        <v>296</v>
      </c>
      <c r="I11" s="334">
        <f>SUM(E11:H11)</f>
        <v>1051</v>
      </c>
      <c r="J11" s="345">
        <v>327</v>
      </c>
      <c r="K11" s="350">
        <f>F11*(1+K13)</f>
        <v>276.18243243243245</v>
      </c>
      <c r="L11" s="350">
        <f t="shared" ref="L11" si="11">G11*(1+L13)</f>
        <v>249.69000000000003</v>
      </c>
      <c r="M11" s="358">
        <f t="shared" ref="M11" si="12">H11*(1+M13)</f>
        <v>332.92</v>
      </c>
      <c r="N11" s="350">
        <f>SUM(J11:M11)</f>
        <v>1185.7924324324326</v>
      </c>
      <c r="O11" s="350">
        <f>N11*(1+O13)</f>
        <v>1337.8722100989776</v>
      </c>
      <c r="P11" s="350">
        <f t="shared" ref="P11:R11" si="13">O11*(1+P13)</f>
        <v>1509.4564626993542</v>
      </c>
      <c r="Q11" s="350">
        <f t="shared" si="13"/>
        <v>1703.0466703664347</v>
      </c>
      <c r="R11" s="358">
        <f t="shared" si="13"/>
        <v>1921.4651320644814</v>
      </c>
      <c r="S11" s="187">
        <f>((R11/N11)^(1/5))-1</f>
        <v>0.10134850524117489</v>
      </c>
    </row>
    <row r="12" spans="1:19" s="187" customFormat="1" x14ac:dyDescent="0.25">
      <c r="B12" s="335" t="s">
        <v>214</v>
      </c>
      <c r="D12" s="353"/>
      <c r="E12" s="353"/>
      <c r="F12" s="353">
        <f>F11/E11-1</f>
        <v>-0.11660777385159016</v>
      </c>
      <c r="G12" s="353">
        <f t="shared" ref="G12" si="14">G11/F11-1</f>
        <v>-0.11199999999999999</v>
      </c>
      <c r="H12" s="353">
        <f t="shared" ref="H12" si="15">H11/G11-1</f>
        <v>0.33333333333333326</v>
      </c>
      <c r="I12" s="335"/>
      <c r="J12" s="353">
        <f>J11/H11-1</f>
        <v>0.10472972972972983</v>
      </c>
      <c r="K12" s="351"/>
      <c r="L12" s="351"/>
      <c r="M12" s="359"/>
      <c r="N12" s="351"/>
      <c r="O12" s="351"/>
      <c r="P12" s="351"/>
      <c r="Q12" s="351"/>
      <c r="R12" s="359"/>
    </row>
    <row r="13" spans="1:19" s="187" customFormat="1" x14ac:dyDescent="0.25">
      <c r="B13" s="335" t="s">
        <v>215</v>
      </c>
      <c r="D13" s="353">
        <f>D11/C11-1</f>
        <v>0.18586387434554963</v>
      </c>
      <c r="E13" s="353"/>
      <c r="F13" s="353"/>
      <c r="G13" s="353"/>
      <c r="H13" s="353"/>
      <c r="I13" s="335">
        <f>I11/D11-1</f>
        <v>0.16004415011037532</v>
      </c>
      <c r="J13" s="353">
        <f>J11/H11-1</f>
        <v>0.10472972972972983</v>
      </c>
      <c r="K13" s="357">
        <f>J13</f>
        <v>0.10472972972972983</v>
      </c>
      <c r="L13" s="357">
        <f>K13+0.02</f>
        <v>0.12472972972972983</v>
      </c>
      <c r="M13" s="360">
        <f t="shared" ref="L13:R13" si="16">L13</f>
        <v>0.12472972972972983</v>
      </c>
      <c r="N13" s="357">
        <f>N11/I11-1</f>
        <v>0.12825160079203868</v>
      </c>
      <c r="O13" s="357">
        <f t="shared" si="16"/>
        <v>0.12825160079203868</v>
      </c>
      <c r="P13" s="357">
        <f t="shared" si="16"/>
        <v>0.12825160079203868</v>
      </c>
      <c r="Q13" s="357">
        <f t="shared" si="16"/>
        <v>0.12825160079203868</v>
      </c>
      <c r="R13" s="360">
        <f t="shared" si="16"/>
        <v>0.12825160079203868</v>
      </c>
    </row>
    <row r="14" spans="1:19" s="330" customFormat="1" x14ac:dyDescent="0.25">
      <c r="B14" s="336" t="s">
        <v>201</v>
      </c>
      <c r="D14" s="341"/>
      <c r="E14" s="341"/>
      <c r="F14" s="341"/>
      <c r="G14" s="341"/>
      <c r="H14" s="341"/>
      <c r="I14" s="336"/>
      <c r="J14" s="341"/>
      <c r="K14" s="352"/>
      <c r="L14" s="352"/>
      <c r="M14" s="361"/>
      <c r="N14" s="352"/>
      <c r="O14" s="352"/>
      <c r="P14" s="352"/>
      <c r="Q14" s="352"/>
      <c r="R14" s="361"/>
    </row>
    <row r="15" spans="1:19" s="11" customFormat="1" x14ac:dyDescent="0.25">
      <c r="A15" s="11" t="s">
        <v>125</v>
      </c>
      <c r="B15" s="26" t="s">
        <v>202</v>
      </c>
      <c r="C15" s="11">
        <f>SUM(C11,C7,C3)</f>
        <v>21608</v>
      </c>
      <c r="D15" s="333">
        <f t="shared" ref="D15:I15" si="17">SUM(D11,D7,D3)</f>
        <v>21396</v>
      </c>
      <c r="E15" s="333">
        <f t="shared" si="17"/>
        <v>4826</v>
      </c>
      <c r="F15" s="333">
        <f t="shared" si="17"/>
        <v>5179</v>
      </c>
      <c r="G15" s="333">
        <f t="shared" si="17"/>
        <v>4864</v>
      </c>
      <c r="H15" s="333">
        <f t="shared" si="17"/>
        <v>4703</v>
      </c>
      <c r="I15" s="26">
        <f t="shared" si="17"/>
        <v>19572</v>
      </c>
      <c r="J15" s="333">
        <f t="shared" ref="J15:R15" si="18">SUM(J11,J7,J3)</f>
        <v>5020</v>
      </c>
      <c r="K15" s="333">
        <f t="shared" si="18"/>
        <v>5547.2547843008406</v>
      </c>
      <c r="L15" s="333">
        <f t="shared" si="18"/>
        <v>5277.7757712970069</v>
      </c>
      <c r="M15" s="26">
        <f t="shared" si="18"/>
        <v>5097.16</v>
      </c>
      <c r="N15" s="333">
        <f t="shared" si="18"/>
        <v>20942.190555597845</v>
      </c>
      <c r="O15" s="333">
        <f t="shared" si="18"/>
        <v>22441.848843031465</v>
      </c>
      <c r="P15" s="333">
        <f t="shared" si="18"/>
        <v>24085.597058565643</v>
      </c>
      <c r="Q15" s="333">
        <f t="shared" si="18"/>
        <v>25889.8349389547</v>
      </c>
      <c r="R15" s="26">
        <f t="shared" si="18"/>
        <v>27872.96142108721</v>
      </c>
      <c r="S15" s="187">
        <f>((R15/N15)^(1/5))-1</f>
        <v>5.8844539643596372E-2</v>
      </c>
    </row>
    <row r="16" spans="1:19" x14ac:dyDescent="0.25">
      <c r="B16" s="29"/>
      <c r="D16" s="328"/>
      <c r="E16" s="328"/>
      <c r="F16" s="328"/>
      <c r="G16" s="328"/>
      <c r="H16" s="328"/>
      <c r="I16" s="29"/>
      <c r="J16" s="328"/>
      <c r="K16" s="287"/>
      <c r="L16" s="287"/>
      <c r="M16" s="362"/>
      <c r="N16" s="287"/>
      <c r="O16" s="287"/>
      <c r="P16" s="287"/>
      <c r="Q16" s="287"/>
      <c r="R16" s="362"/>
    </row>
    <row r="17" spans="1:19" s="269" customFormat="1" x14ac:dyDescent="0.25">
      <c r="B17" s="334" t="s">
        <v>197</v>
      </c>
      <c r="C17" s="269">
        <v>8260</v>
      </c>
      <c r="D17" s="345">
        <v>8473</v>
      </c>
      <c r="E17" s="345">
        <v>1952</v>
      </c>
      <c r="F17" s="345">
        <v>1982</v>
      </c>
      <c r="G17" s="345">
        <v>1742</v>
      </c>
      <c r="H17" s="345">
        <v>1893</v>
      </c>
      <c r="I17" s="334">
        <f>SUM(E17:H17)</f>
        <v>7569</v>
      </c>
      <c r="J17" s="345">
        <v>2021</v>
      </c>
      <c r="K17" s="350">
        <f>F17*(1+K19)</f>
        <v>2116.0179609086108</v>
      </c>
      <c r="L17" s="350">
        <f t="shared" ref="L17" si="19">G17*(1+L19)</f>
        <v>1846.52</v>
      </c>
      <c r="M17" s="358">
        <f t="shared" ref="M17" si="20">H17*(1+M19)</f>
        <v>2006.5800000000002</v>
      </c>
      <c r="N17" s="350">
        <f>SUM(J17:M17)</f>
        <v>7990.1179609086103</v>
      </c>
      <c r="O17" s="350">
        <f>N17*(1+O19)</f>
        <v>8434.6657457041038</v>
      </c>
      <c r="P17" s="350">
        <f t="shared" ref="P17:R17" si="21">O17*(1+P19)</f>
        <v>8903.9469241658044</v>
      </c>
      <c r="Q17" s="350">
        <f t="shared" si="21"/>
        <v>9399.3375930445454</v>
      </c>
      <c r="R17" s="358">
        <f t="shared" si="21"/>
        <v>9922.2904112602355</v>
      </c>
      <c r="S17" s="187">
        <f>((R17/N17)^(1/5))-1</f>
        <v>4.4267467872452171E-2</v>
      </c>
    </row>
    <row r="18" spans="1:19" s="187" customFormat="1" x14ac:dyDescent="0.25">
      <c r="B18" s="335" t="s">
        <v>214</v>
      </c>
      <c r="D18" s="353"/>
      <c r="E18" s="353"/>
      <c r="F18" s="353">
        <f>F17/E17-1</f>
        <v>1.5368852459016313E-2</v>
      </c>
      <c r="G18" s="353">
        <f t="shared" ref="G18" si="22">G17/F17-1</f>
        <v>-0.12108980827447025</v>
      </c>
      <c r="H18" s="353">
        <f t="shared" ref="H18" si="23">H17/G17-1</f>
        <v>8.6681974741676271E-2</v>
      </c>
      <c r="I18" s="335"/>
      <c r="J18" s="353">
        <f>J17/H17-1</f>
        <v>6.7617538298996305E-2</v>
      </c>
      <c r="K18" s="351"/>
      <c r="L18" s="351"/>
      <c r="M18" s="359"/>
      <c r="N18" s="351"/>
      <c r="O18" s="351"/>
      <c r="P18" s="351"/>
      <c r="Q18" s="351"/>
      <c r="R18" s="359"/>
    </row>
    <row r="19" spans="1:19" s="187" customFormat="1" x14ac:dyDescent="0.25">
      <c r="B19" s="335" t="s">
        <v>215</v>
      </c>
      <c r="D19" s="353">
        <f>D17/C17-1</f>
        <v>2.5786924939467326E-2</v>
      </c>
      <c r="E19" s="353"/>
      <c r="F19" s="353"/>
      <c r="G19" s="353"/>
      <c r="H19" s="353"/>
      <c r="I19" s="335">
        <f>I17/D17-1</f>
        <v>-0.1066918446831111</v>
      </c>
      <c r="J19" s="353">
        <f>J17/H17-1</f>
        <v>6.7617538298996305E-2</v>
      </c>
      <c r="K19" s="357">
        <f>J19</f>
        <v>6.7617538298996305E-2</v>
      </c>
      <c r="L19" s="357">
        <v>0.06</v>
      </c>
      <c r="M19" s="360">
        <f t="shared" ref="L19:R19" si="24">L19</f>
        <v>0.06</v>
      </c>
      <c r="N19" s="357">
        <f>N17/I17-1</f>
        <v>5.5637199221642231E-2</v>
      </c>
      <c r="O19" s="357">
        <f t="shared" si="24"/>
        <v>5.5637199221642231E-2</v>
      </c>
      <c r="P19" s="357">
        <f t="shared" si="24"/>
        <v>5.5637199221642231E-2</v>
      </c>
      <c r="Q19" s="357">
        <f t="shared" si="24"/>
        <v>5.5637199221642231E-2</v>
      </c>
      <c r="R19" s="360">
        <f t="shared" si="24"/>
        <v>5.5637199221642231E-2</v>
      </c>
    </row>
    <row r="20" spans="1:19" s="330" customFormat="1" x14ac:dyDescent="0.25">
      <c r="B20" s="336" t="s">
        <v>201</v>
      </c>
      <c r="D20" s="341"/>
      <c r="E20" s="341"/>
      <c r="F20" s="341"/>
      <c r="G20" s="341"/>
      <c r="H20" s="341"/>
      <c r="I20" s="336"/>
      <c r="J20" s="341"/>
      <c r="K20" s="352"/>
      <c r="L20" s="352"/>
      <c r="M20" s="361"/>
      <c r="N20" s="352"/>
      <c r="O20" s="352"/>
      <c r="P20" s="352"/>
      <c r="Q20" s="352"/>
      <c r="R20" s="361"/>
    </row>
    <row r="21" spans="1:19" s="269" customFormat="1" x14ac:dyDescent="0.25">
      <c r="B21" s="334" t="s">
        <v>198</v>
      </c>
      <c r="C21" s="269">
        <v>4566</v>
      </c>
      <c r="D21" s="345">
        <v>4380</v>
      </c>
      <c r="E21" s="345">
        <v>993</v>
      </c>
      <c r="F21" s="345">
        <v>1136</v>
      </c>
      <c r="G21" s="345">
        <v>913</v>
      </c>
      <c r="H21" s="345">
        <v>929</v>
      </c>
      <c r="I21" s="334">
        <f>SUM(E21:H21)</f>
        <v>3971</v>
      </c>
      <c r="J21" s="345">
        <v>1106</v>
      </c>
      <c r="K21" s="350">
        <f>F21*(1+K23)</f>
        <v>1352.4391819160387</v>
      </c>
      <c r="L21" s="350">
        <f t="shared" ref="L21" si="25">G21*(1+L23)</f>
        <v>1086.9515608180839</v>
      </c>
      <c r="M21" s="358">
        <f t="shared" ref="M21" si="26">H21*(1+M23)</f>
        <v>1106</v>
      </c>
      <c r="N21" s="350">
        <f>SUM(J21:M21)</f>
        <v>4651.3907427341228</v>
      </c>
      <c r="O21" s="350">
        <f>N21*(1+O23)</f>
        <v>5448.3595672608144</v>
      </c>
      <c r="P21" s="350">
        <f t="shared" ref="P21:R21" si="27">O21*(1+P23)</f>
        <v>6381.8809504517358</v>
      </c>
      <c r="Q21" s="350">
        <f t="shared" si="27"/>
        <v>7475.3517940474567</v>
      </c>
      <c r="R21" s="358">
        <f t="shared" si="27"/>
        <v>8756.1778225921062</v>
      </c>
      <c r="S21" s="187">
        <f>((R21/N21)^(1/5))-1</f>
        <v>0.13487061149682233</v>
      </c>
    </row>
    <row r="22" spans="1:19" s="330" customFormat="1" x14ac:dyDescent="0.25">
      <c r="A22" s="187"/>
      <c r="B22" s="335" t="s">
        <v>214</v>
      </c>
      <c r="D22" s="341"/>
      <c r="E22" s="341"/>
      <c r="F22" s="353">
        <f>F21/E21-1</f>
        <v>0.14400805639476344</v>
      </c>
      <c r="G22" s="353">
        <f t="shared" ref="G22" si="28">G21/F21-1</f>
        <v>-0.19630281690140849</v>
      </c>
      <c r="H22" s="353">
        <f t="shared" ref="H22" si="29">H21/G21-1</f>
        <v>1.7524644030668224E-2</v>
      </c>
      <c r="I22" s="336"/>
      <c r="J22" s="353">
        <f>J21/H21-1</f>
        <v>0.19052744886975237</v>
      </c>
      <c r="K22" s="352"/>
      <c r="L22" s="352"/>
      <c r="M22" s="361"/>
      <c r="N22" s="352"/>
      <c r="O22" s="352"/>
      <c r="P22" s="352"/>
      <c r="Q22" s="352"/>
      <c r="R22" s="361"/>
    </row>
    <row r="23" spans="1:19" s="269" customFormat="1" x14ac:dyDescent="0.25">
      <c r="A23" s="187"/>
      <c r="B23" s="335" t="s">
        <v>215</v>
      </c>
      <c r="D23" s="353">
        <f>D21/C21-1</f>
        <v>-4.0735873850197057E-2</v>
      </c>
      <c r="E23" s="345"/>
      <c r="F23" s="345"/>
      <c r="G23" s="345"/>
      <c r="H23" s="345"/>
      <c r="I23" s="335">
        <f>I21/D21-1</f>
        <v>-9.3378995433789913E-2</v>
      </c>
      <c r="J23" s="353">
        <f>J21/H21-1</f>
        <v>0.19052744886975237</v>
      </c>
      <c r="K23" s="357">
        <f>J23</f>
        <v>0.19052744886975237</v>
      </c>
      <c r="L23" s="357">
        <f t="shared" ref="L23:R23" si="30">K23</f>
        <v>0.19052744886975237</v>
      </c>
      <c r="M23" s="360">
        <f t="shared" si="30"/>
        <v>0.19052744886975237</v>
      </c>
      <c r="N23" s="357">
        <f>N21/I21-1</f>
        <v>0.17133989995822785</v>
      </c>
      <c r="O23" s="357">
        <f t="shared" si="30"/>
        <v>0.17133989995822785</v>
      </c>
      <c r="P23" s="357">
        <f t="shared" si="30"/>
        <v>0.17133989995822785</v>
      </c>
      <c r="Q23" s="357">
        <f t="shared" si="30"/>
        <v>0.17133989995822785</v>
      </c>
      <c r="R23" s="360">
        <f t="shared" si="30"/>
        <v>0.17133989995822785</v>
      </c>
    </row>
    <row r="24" spans="1:19" s="330" customFormat="1" x14ac:dyDescent="0.25">
      <c r="B24" s="336" t="s">
        <v>201</v>
      </c>
      <c r="D24" s="341"/>
      <c r="E24" s="341"/>
      <c r="F24" s="341"/>
      <c r="G24" s="341"/>
      <c r="H24" s="341"/>
      <c r="I24" s="336"/>
      <c r="J24" s="341"/>
      <c r="K24" s="352"/>
      <c r="L24" s="352"/>
      <c r="M24" s="361"/>
      <c r="N24" s="352"/>
      <c r="O24" s="352"/>
      <c r="P24" s="352"/>
      <c r="Q24" s="352"/>
      <c r="R24" s="361"/>
    </row>
    <row r="25" spans="1:19" x14ac:dyDescent="0.25">
      <c r="A25" s="269"/>
      <c r="B25" s="334" t="s">
        <v>199</v>
      </c>
      <c r="C25" s="4">
        <v>592</v>
      </c>
      <c r="D25" s="328">
        <v>754</v>
      </c>
      <c r="E25" s="328">
        <v>198</v>
      </c>
      <c r="F25" s="328">
        <v>185</v>
      </c>
      <c r="G25" s="328">
        <v>156</v>
      </c>
      <c r="H25" s="328">
        <v>178</v>
      </c>
      <c r="I25" s="334">
        <f>SUM(E25:H25)</f>
        <v>717</v>
      </c>
      <c r="J25" s="328">
        <v>204</v>
      </c>
      <c r="K25" s="350">
        <f>F25*(1+K27)</f>
        <v>212.02247191011233</v>
      </c>
      <c r="L25" s="350">
        <f t="shared" ref="L25" si="31">G25*(1+L27)</f>
        <v>178.78651685393257</v>
      </c>
      <c r="M25" s="358">
        <f t="shared" ref="M25" si="32">H25*(1+M27)</f>
        <v>203.99999999999997</v>
      </c>
      <c r="N25" s="350">
        <f>SUM(J25:M25)</f>
        <v>798.8089887640449</v>
      </c>
      <c r="O25" s="350">
        <f>N25*(1+O27)</f>
        <v>889.95230199475031</v>
      </c>
      <c r="P25" s="350">
        <f t="shared" ref="P25:R25" si="33">O25*(1+P27)</f>
        <v>991.4949768544775</v>
      </c>
      <c r="Q25" s="350">
        <f t="shared" si="33"/>
        <v>1104.6235701893379</v>
      </c>
      <c r="R25" s="358">
        <f t="shared" si="33"/>
        <v>1230.6600238045662</v>
      </c>
      <c r="S25" s="187">
        <f>((R25/N25)^(1/5))-1</f>
        <v>9.0282471649721252E-2</v>
      </c>
    </row>
    <row r="26" spans="1:19" x14ac:dyDescent="0.25">
      <c r="A26" s="187"/>
      <c r="B26" s="335" t="s">
        <v>214</v>
      </c>
      <c r="D26" s="328"/>
      <c r="E26" s="328"/>
      <c r="F26" s="353">
        <f>F25/E25-1</f>
        <v>-6.5656565656565635E-2</v>
      </c>
      <c r="G26" s="353">
        <f t="shared" ref="G26" si="34">G25/F25-1</f>
        <v>-0.15675675675675671</v>
      </c>
      <c r="H26" s="353">
        <f t="shared" ref="H26" si="35">H25/G25-1</f>
        <v>0.14102564102564097</v>
      </c>
      <c r="I26" s="29"/>
      <c r="J26" s="353">
        <f>J25/H25-1</f>
        <v>0.14606741573033699</v>
      </c>
      <c r="M26" s="29"/>
      <c r="R26" s="29"/>
    </row>
    <row r="27" spans="1:19" s="269" customFormat="1" x14ac:dyDescent="0.25">
      <c r="A27" s="187"/>
      <c r="B27" s="335" t="s">
        <v>215</v>
      </c>
      <c r="D27" s="353">
        <f>D25/C25-1</f>
        <v>0.27364864864864868</v>
      </c>
      <c r="E27" s="345"/>
      <c r="F27" s="345"/>
      <c r="G27" s="345"/>
      <c r="H27" s="345"/>
      <c r="I27" s="335">
        <f>I25/D25-1</f>
        <v>-4.9071618037135334E-2</v>
      </c>
      <c r="J27" s="353">
        <f>J25/H25-1</f>
        <v>0.14606741573033699</v>
      </c>
      <c r="K27" s="357">
        <f>J27</f>
        <v>0.14606741573033699</v>
      </c>
      <c r="L27" s="357">
        <f t="shared" ref="L27:R27" si="36">K27</f>
        <v>0.14606741573033699</v>
      </c>
      <c r="M27" s="360">
        <f t="shared" si="36"/>
        <v>0.14606741573033699</v>
      </c>
      <c r="N27" s="357">
        <f>N25/I25-1</f>
        <v>0.11409900803911421</v>
      </c>
      <c r="O27" s="357">
        <f t="shared" si="36"/>
        <v>0.11409900803911421</v>
      </c>
      <c r="P27" s="357">
        <f t="shared" si="36"/>
        <v>0.11409900803911421</v>
      </c>
      <c r="Q27" s="357">
        <f t="shared" si="36"/>
        <v>0.11409900803911421</v>
      </c>
      <c r="R27" s="360">
        <f t="shared" si="36"/>
        <v>0.11409900803911421</v>
      </c>
    </row>
    <row r="28" spans="1:19" s="330" customFormat="1" x14ac:dyDescent="0.25">
      <c r="B28" s="336" t="s">
        <v>201</v>
      </c>
      <c r="D28" s="341"/>
      <c r="E28" s="341"/>
      <c r="F28" s="341"/>
      <c r="G28" s="341"/>
      <c r="H28" s="341"/>
      <c r="I28" s="336"/>
      <c r="J28" s="341"/>
      <c r="M28" s="336"/>
      <c r="R28" s="336"/>
    </row>
    <row r="29" spans="1:19" s="269" customFormat="1" x14ac:dyDescent="0.25">
      <c r="A29" s="11" t="s">
        <v>125</v>
      </c>
      <c r="B29" s="26" t="s">
        <v>211</v>
      </c>
      <c r="C29" s="11">
        <f>SUM(C25,C21,C17)</f>
        <v>13418</v>
      </c>
      <c r="D29" s="333">
        <f t="shared" ref="D29:I29" si="37">SUM(D25,D21,D17)</f>
        <v>13607</v>
      </c>
      <c r="E29" s="333">
        <f t="shared" si="37"/>
        <v>3143</v>
      </c>
      <c r="F29" s="333">
        <f t="shared" si="37"/>
        <v>3303</v>
      </c>
      <c r="G29" s="333">
        <f t="shared" si="37"/>
        <v>2811</v>
      </c>
      <c r="H29" s="333">
        <f t="shared" si="37"/>
        <v>3000</v>
      </c>
      <c r="I29" s="26">
        <f t="shared" si="37"/>
        <v>12257</v>
      </c>
      <c r="J29" s="333">
        <f t="shared" ref="J29:R29" si="38">SUM(J25,J21,J17)</f>
        <v>3331</v>
      </c>
      <c r="K29" s="333">
        <f t="shared" si="38"/>
        <v>3680.4796147347615</v>
      </c>
      <c r="L29" s="333">
        <f t="shared" si="38"/>
        <v>3112.2580776720165</v>
      </c>
      <c r="M29" s="26">
        <f t="shared" si="38"/>
        <v>3316.58</v>
      </c>
      <c r="N29" s="333">
        <f t="shared" si="38"/>
        <v>13440.317692406777</v>
      </c>
      <c r="O29" s="333">
        <f t="shared" si="38"/>
        <v>14772.977614959669</v>
      </c>
      <c r="P29" s="333">
        <f t="shared" si="38"/>
        <v>16277.322851472018</v>
      </c>
      <c r="Q29" s="333">
        <f t="shared" si="38"/>
        <v>17979.312957281341</v>
      </c>
      <c r="R29" s="26">
        <f t="shared" si="38"/>
        <v>19909.128257656906</v>
      </c>
      <c r="S29" s="187">
        <f>((R29/N29)^(1/5))-1</f>
        <v>8.175408030680531E-2</v>
      </c>
    </row>
    <row r="30" spans="1:19" s="330" customFormat="1" x14ac:dyDescent="0.25">
      <c r="B30" s="336"/>
      <c r="D30" s="341"/>
      <c r="E30" s="341"/>
      <c r="F30" s="341"/>
      <c r="G30" s="341"/>
      <c r="H30" s="341"/>
      <c r="I30" s="336"/>
      <c r="J30" s="341"/>
      <c r="M30" s="336"/>
      <c r="R30" s="336"/>
    </row>
    <row r="31" spans="1:19" s="269" customFormat="1" x14ac:dyDescent="0.25">
      <c r="B31" s="334" t="s">
        <v>197</v>
      </c>
      <c r="C31" s="269">
        <v>5435</v>
      </c>
      <c r="D31" s="345">
        <v>5552</v>
      </c>
      <c r="E31" s="345">
        <v>1246</v>
      </c>
      <c r="F31" s="345">
        <v>1203</v>
      </c>
      <c r="G31" s="345">
        <v>1282</v>
      </c>
      <c r="H31" s="345">
        <v>1074</v>
      </c>
      <c r="I31" s="334">
        <f>SUM(E31:H31)</f>
        <v>4805</v>
      </c>
      <c r="J31" s="345">
        <v>1109</v>
      </c>
      <c r="K31" s="350">
        <f>F31*(1+K33)</f>
        <v>1242.2039106145251</v>
      </c>
      <c r="L31" s="350">
        <f t="shared" ref="L31" si="39">G31*(1+L33)</f>
        <v>1358.92</v>
      </c>
      <c r="M31" s="358">
        <f t="shared" ref="M31" si="40">H31*(1+M33)</f>
        <v>1138.44</v>
      </c>
      <c r="N31" s="350">
        <f>SUM(J31:M31)</f>
        <v>4848.5639106145245</v>
      </c>
      <c r="O31" s="350">
        <f>N31*(1+O33)</f>
        <v>4892.5227877863917</v>
      </c>
      <c r="P31" s="350">
        <f t="shared" ref="P31:R31" si="41">O31*(1+P33)</f>
        <v>4936.8802124287749</v>
      </c>
      <c r="Q31" s="350">
        <f t="shared" si="41"/>
        <v>4981.6397979207341</v>
      </c>
      <c r="R31" s="358">
        <f t="shared" si="41"/>
        <v>5026.805190401562</v>
      </c>
      <c r="S31" s="187">
        <f>((R31/N31)^(1/5))-1</f>
        <v>7.2465442639226829E-3</v>
      </c>
    </row>
    <row r="32" spans="1:19" s="330" customFormat="1" x14ac:dyDescent="0.25">
      <c r="A32" s="187"/>
      <c r="B32" s="335" t="s">
        <v>214</v>
      </c>
      <c r="D32" s="341"/>
      <c r="E32" s="341"/>
      <c r="F32" s="353">
        <f>F31/E31-1</f>
        <v>-3.4510433386837902E-2</v>
      </c>
      <c r="G32" s="353">
        <f t="shared" ref="G32" si="42">G31/F31-1</f>
        <v>6.5669160432252793E-2</v>
      </c>
      <c r="H32" s="353">
        <f t="shared" ref="H32" si="43">H31/G31-1</f>
        <v>-0.16224648985959433</v>
      </c>
      <c r="I32" s="336"/>
      <c r="J32" s="353">
        <f>J31/H31-1</f>
        <v>3.2588454376163867E-2</v>
      </c>
      <c r="M32" s="336"/>
      <c r="R32" s="336"/>
    </row>
    <row r="33" spans="1:19" s="11" customFormat="1" x14ac:dyDescent="0.25">
      <c r="A33" s="187"/>
      <c r="B33" s="335" t="s">
        <v>215</v>
      </c>
      <c r="D33" s="353">
        <f>D31/C31-1</f>
        <v>2.1527138914443356E-2</v>
      </c>
      <c r="E33" s="333"/>
      <c r="F33" s="333"/>
      <c r="G33" s="333"/>
      <c r="H33" s="333"/>
      <c r="I33" s="335">
        <f>I31/D31-1</f>
        <v>-0.1345461095100865</v>
      </c>
      <c r="J33" s="353">
        <f>J31/H31-1</f>
        <v>3.2588454376163867E-2</v>
      </c>
      <c r="K33" s="357">
        <f>J33</f>
        <v>3.2588454376163867E-2</v>
      </c>
      <c r="L33" s="357">
        <v>0.06</v>
      </c>
      <c r="M33" s="360">
        <f t="shared" ref="L33:R33" si="44">L33</f>
        <v>0.06</v>
      </c>
      <c r="N33" s="357">
        <f>N31/I31-1</f>
        <v>9.0663705753433188E-3</v>
      </c>
      <c r="O33" s="357">
        <f t="shared" si="44"/>
        <v>9.0663705753433188E-3</v>
      </c>
      <c r="P33" s="357">
        <f t="shared" si="44"/>
        <v>9.0663705753433188E-3</v>
      </c>
      <c r="Q33" s="357">
        <f t="shared" si="44"/>
        <v>9.0663705753433188E-3</v>
      </c>
      <c r="R33" s="360">
        <f t="shared" si="44"/>
        <v>9.0663705753433188E-3</v>
      </c>
    </row>
    <row r="34" spans="1:19" x14ac:dyDescent="0.25">
      <c r="A34" s="330"/>
      <c r="B34" s="336" t="s">
        <v>201</v>
      </c>
      <c r="D34" s="328"/>
      <c r="E34" s="328"/>
      <c r="F34" s="328"/>
      <c r="G34" s="328"/>
      <c r="H34" s="328"/>
      <c r="I34" s="29"/>
      <c r="J34" s="328"/>
      <c r="M34" s="29"/>
      <c r="R34" s="29"/>
    </row>
    <row r="35" spans="1:19" s="269" customFormat="1" x14ac:dyDescent="0.25">
      <c r="B35" s="334" t="s">
        <v>198</v>
      </c>
      <c r="C35" s="269">
        <v>1666</v>
      </c>
      <c r="D35" s="345">
        <v>1828</v>
      </c>
      <c r="E35" s="345">
        <v>360</v>
      </c>
      <c r="F35" s="345">
        <v>472</v>
      </c>
      <c r="G35" s="345">
        <v>412</v>
      </c>
      <c r="H35" s="345">
        <v>372</v>
      </c>
      <c r="I35" s="334">
        <f>SUM(E35:H35)</f>
        <v>1616</v>
      </c>
      <c r="J35" s="345">
        <v>362</v>
      </c>
      <c r="K35" s="350">
        <f>F35*(1+K37)</f>
        <v>459.31182795698925</v>
      </c>
      <c r="L35" s="350">
        <f t="shared" ref="L35" si="45">G35*(1+L37)</f>
        <v>400.92473118279571</v>
      </c>
      <c r="M35" s="358">
        <f t="shared" ref="M35" si="46">H35*(1+M37)</f>
        <v>362</v>
      </c>
      <c r="N35" s="350">
        <f>SUM(J35:M35)</f>
        <v>1584.236559139785</v>
      </c>
      <c r="O35" s="350">
        <f>N35*(1+O37)</f>
        <v>1553.0974475959563</v>
      </c>
      <c r="P35" s="350">
        <f t="shared" ref="P35:R35" si="47">O35*(1+P37)</f>
        <v>1522.5703938045795</v>
      </c>
      <c r="Q35" s="350">
        <f t="shared" si="47"/>
        <v>1492.6433674066054</v>
      </c>
      <c r="R35" s="358">
        <f t="shared" si="47"/>
        <v>1463.3045745068457</v>
      </c>
      <c r="S35" s="187">
        <f>((R35/N35)^(1/5))-1</f>
        <v>-1.5755628727031734E-2</v>
      </c>
    </row>
    <row r="36" spans="1:19" s="330" customFormat="1" x14ac:dyDescent="0.25">
      <c r="A36" s="187"/>
      <c r="B36" s="335" t="s">
        <v>214</v>
      </c>
      <c r="D36" s="341"/>
      <c r="E36" s="341"/>
      <c r="F36" s="353">
        <f>F35/E35-1</f>
        <v>0.31111111111111112</v>
      </c>
      <c r="G36" s="353">
        <f t="shared" ref="G36" si="48">G35/F35-1</f>
        <v>-0.1271186440677966</v>
      </c>
      <c r="H36" s="353">
        <f t="shared" ref="H36" si="49">H35/G35-1</f>
        <v>-9.7087378640776656E-2</v>
      </c>
      <c r="I36" s="336"/>
      <c r="J36" s="353">
        <f>J35/H35-1</f>
        <v>-2.6881720430107503E-2</v>
      </c>
      <c r="M36" s="336"/>
      <c r="R36" s="336"/>
    </row>
    <row r="37" spans="1:19" s="269" customFormat="1" x14ac:dyDescent="0.25">
      <c r="A37" s="187"/>
      <c r="B37" s="335" t="s">
        <v>215</v>
      </c>
      <c r="D37" s="353">
        <f>D35/C35-1</f>
        <v>9.7238895558223293E-2</v>
      </c>
      <c r="E37" s="345"/>
      <c r="F37" s="345"/>
      <c r="G37" s="345"/>
      <c r="H37" s="345"/>
      <c r="I37" s="335">
        <f>I35/D35-1</f>
        <v>-0.11597374179431075</v>
      </c>
      <c r="J37" s="353">
        <f>J35/H35-1</f>
        <v>-2.6881720430107503E-2</v>
      </c>
      <c r="K37" s="357">
        <f>J37</f>
        <v>-2.6881720430107503E-2</v>
      </c>
      <c r="L37" s="357">
        <f t="shared" ref="L37:R37" si="50">K37</f>
        <v>-2.6881720430107503E-2</v>
      </c>
      <c r="M37" s="360">
        <f t="shared" si="50"/>
        <v>-2.6881720430107503E-2</v>
      </c>
      <c r="N37" s="357">
        <f>N35/I35-1</f>
        <v>-1.9655594591717174E-2</v>
      </c>
      <c r="O37" s="357">
        <f t="shared" si="50"/>
        <v>-1.9655594591717174E-2</v>
      </c>
      <c r="P37" s="357">
        <f t="shared" si="50"/>
        <v>-1.9655594591717174E-2</v>
      </c>
      <c r="Q37" s="357">
        <f t="shared" si="50"/>
        <v>-1.9655594591717174E-2</v>
      </c>
      <c r="R37" s="360">
        <f t="shared" si="50"/>
        <v>-1.9655594591717174E-2</v>
      </c>
    </row>
    <row r="38" spans="1:19" s="330" customFormat="1" x14ac:dyDescent="0.25">
      <c r="B38" s="336" t="s">
        <v>201</v>
      </c>
      <c r="D38" s="341"/>
      <c r="E38" s="341"/>
      <c r="F38" s="341"/>
      <c r="G38" s="341"/>
      <c r="H38" s="341"/>
      <c r="I38" s="336"/>
      <c r="J38" s="341"/>
      <c r="M38" s="336"/>
      <c r="R38" s="336"/>
    </row>
    <row r="39" spans="1:19" s="269" customFormat="1" x14ac:dyDescent="0.25">
      <c r="B39" s="334" t="s">
        <v>199</v>
      </c>
      <c r="C39" s="269">
        <v>147</v>
      </c>
      <c r="D39" s="345">
        <v>165</v>
      </c>
      <c r="E39" s="345">
        <v>60</v>
      </c>
      <c r="F39" s="345">
        <v>36</v>
      </c>
      <c r="G39" s="345">
        <v>39</v>
      </c>
      <c r="H39" s="345">
        <v>30</v>
      </c>
      <c r="I39" s="334">
        <f>SUM(E39:H39)</f>
        <v>165</v>
      </c>
      <c r="J39" s="345">
        <v>41</v>
      </c>
      <c r="K39" s="350">
        <f>F39*(1+K41)</f>
        <v>49.2</v>
      </c>
      <c r="L39" s="350">
        <f t="shared" ref="L39" si="51">G39*(1+L41)</f>
        <v>53.300000000000004</v>
      </c>
      <c r="M39" s="358">
        <f t="shared" ref="M39" si="52">H39*(1+M41)</f>
        <v>41</v>
      </c>
      <c r="N39" s="350">
        <f>SUM(J39:M39)</f>
        <v>184.5</v>
      </c>
      <c r="O39" s="350">
        <f>N39*(1+O41)</f>
        <v>206.30454545454546</v>
      </c>
      <c r="P39" s="350">
        <f t="shared" ref="P39:R39" si="53">O39*(1+P41)</f>
        <v>230.68599173553719</v>
      </c>
      <c r="Q39" s="350">
        <f t="shared" si="53"/>
        <v>257.94888166791884</v>
      </c>
      <c r="R39" s="358">
        <f t="shared" si="53"/>
        <v>288.43374950140014</v>
      </c>
      <c r="S39" s="187">
        <f>((R39/N39)^(1/5))-1</f>
        <v>9.3477726210659862E-2</v>
      </c>
    </row>
    <row r="40" spans="1:19" s="330" customFormat="1" x14ac:dyDescent="0.25">
      <c r="A40" s="187"/>
      <c r="B40" s="335" t="s">
        <v>214</v>
      </c>
      <c r="D40" s="341"/>
      <c r="E40" s="341"/>
      <c r="F40" s="353">
        <f>F39/E39-1</f>
        <v>-0.4</v>
      </c>
      <c r="G40" s="353">
        <f t="shared" ref="G40" si="54">G39/F39-1</f>
        <v>8.3333333333333259E-2</v>
      </c>
      <c r="H40" s="353">
        <f t="shared" ref="H40" si="55">H39/G39-1</f>
        <v>-0.23076923076923073</v>
      </c>
      <c r="I40" s="336"/>
      <c r="J40" s="353">
        <f>J39/H39-1</f>
        <v>0.3666666666666667</v>
      </c>
      <c r="M40" s="336"/>
      <c r="R40" s="336"/>
    </row>
    <row r="41" spans="1:19" s="11" customFormat="1" x14ac:dyDescent="0.25">
      <c r="A41" s="187"/>
      <c r="B41" s="335" t="s">
        <v>215</v>
      </c>
      <c r="D41" s="353">
        <f>D39/C39-1</f>
        <v>0.12244897959183665</v>
      </c>
      <c r="E41" s="333"/>
      <c r="F41" s="333"/>
      <c r="G41" s="333"/>
      <c r="H41" s="333"/>
      <c r="I41" s="335">
        <f>I39/D39-1</f>
        <v>0</v>
      </c>
      <c r="J41" s="353">
        <f>J39/H39-1</f>
        <v>0.3666666666666667</v>
      </c>
      <c r="K41" s="357">
        <f>J41</f>
        <v>0.3666666666666667</v>
      </c>
      <c r="L41" s="357">
        <f t="shared" ref="L41:R41" si="56">K41</f>
        <v>0.3666666666666667</v>
      </c>
      <c r="M41" s="360">
        <f t="shared" si="56"/>
        <v>0.3666666666666667</v>
      </c>
      <c r="N41" s="357">
        <f>N39/I39-1</f>
        <v>0.11818181818181817</v>
      </c>
      <c r="O41" s="357">
        <f t="shared" si="56"/>
        <v>0.11818181818181817</v>
      </c>
      <c r="P41" s="357">
        <f t="shared" si="56"/>
        <v>0.11818181818181817</v>
      </c>
      <c r="Q41" s="357">
        <f t="shared" si="56"/>
        <v>0.11818181818181817</v>
      </c>
      <c r="R41" s="360">
        <f t="shared" si="56"/>
        <v>0.11818181818181817</v>
      </c>
    </row>
    <row r="42" spans="1:19" x14ac:dyDescent="0.25">
      <c r="A42" s="330"/>
      <c r="B42" s="336" t="s">
        <v>201</v>
      </c>
      <c r="D42" s="328"/>
      <c r="E42" s="328"/>
      <c r="F42" s="328"/>
      <c r="G42" s="328"/>
      <c r="H42" s="328"/>
      <c r="I42" s="29"/>
      <c r="J42" s="328"/>
      <c r="M42" s="29"/>
      <c r="R42" s="29"/>
    </row>
    <row r="43" spans="1:19" s="269" customFormat="1" x14ac:dyDescent="0.25">
      <c r="A43" s="11" t="s">
        <v>125</v>
      </c>
      <c r="B43" s="26" t="s">
        <v>212</v>
      </c>
      <c r="C43" s="11">
        <f>SUM(C39,C35,C31)</f>
        <v>7248</v>
      </c>
      <c r="D43" s="333">
        <f t="shared" ref="D43:I43" si="57">SUM(D39,D35,D31)</f>
        <v>7545</v>
      </c>
      <c r="E43" s="333">
        <f t="shared" si="57"/>
        <v>1666</v>
      </c>
      <c r="F43" s="333">
        <f t="shared" si="57"/>
        <v>1711</v>
      </c>
      <c r="G43" s="333">
        <f t="shared" si="57"/>
        <v>1733</v>
      </c>
      <c r="H43" s="333">
        <f t="shared" si="57"/>
        <v>1476</v>
      </c>
      <c r="I43" s="26">
        <f t="shared" si="57"/>
        <v>6586</v>
      </c>
      <c r="J43" s="333">
        <f t="shared" ref="J43:R43" si="58">SUM(J39,J35,J31)</f>
        <v>1512</v>
      </c>
      <c r="K43" s="333">
        <f t="shared" si="58"/>
        <v>1750.7157385715143</v>
      </c>
      <c r="L43" s="333">
        <f t="shared" si="58"/>
        <v>1813.1447311827958</v>
      </c>
      <c r="M43" s="26">
        <f t="shared" si="58"/>
        <v>1541.44</v>
      </c>
      <c r="N43" s="333">
        <f t="shared" si="58"/>
        <v>6617.3004697543092</v>
      </c>
      <c r="O43" s="333">
        <f t="shared" si="58"/>
        <v>6651.9247808368937</v>
      </c>
      <c r="P43" s="333">
        <f t="shared" si="58"/>
        <v>6690.1365979688917</v>
      </c>
      <c r="Q43" s="333">
        <f t="shared" si="58"/>
        <v>6732.2320469952583</v>
      </c>
      <c r="R43" s="26">
        <f t="shared" si="58"/>
        <v>6778.5435144098083</v>
      </c>
      <c r="S43" s="187">
        <f>((R43/N43)^(1/5))-1</f>
        <v>4.826561550803854E-3</v>
      </c>
    </row>
    <row r="44" spans="1:19" s="330" customFormat="1" x14ac:dyDescent="0.25">
      <c r="B44" s="336"/>
      <c r="D44" s="341"/>
      <c r="E44" s="341"/>
      <c r="F44" s="341"/>
      <c r="G44" s="341"/>
      <c r="H44" s="341"/>
      <c r="I44" s="336"/>
      <c r="J44" s="341"/>
      <c r="M44" s="336"/>
      <c r="R44" s="336"/>
    </row>
    <row r="45" spans="1:19" s="269" customFormat="1" x14ac:dyDescent="0.25">
      <c r="B45" s="334" t="s">
        <v>197</v>
      </c>
      <c r="C45" s="269">
        <v>4543</v>
      </c>
      <c r="D45" s="345">
        <v>4865</v>
      </c>
      <c r="E45" s="345">
        <v>1052</v>
      </c>
      <c r="F45" s="345">
        <v>1234</v>
      </c>
      <c r="G45" s="345">
        <v>1052</v>
      </c>
      <c r="H45" s="345">
        <v>1114</v>
      </c>
      <c r="I45" s="334">
        <f>SUM(E45:H45)</f>
        <v>4452</v>
      </c>
      <c r="J45" s="345">
        <v>1061</v>
      </c>
      <c r="K45" s="350">
        <f>F45*(1+K47)</f>
        <v>1175.290843806104</v>
      </c>
      <c r="L45" s="350">
        <f t="shared" ref="L45" si="59">G45*(1+L47)</f>
        <v>1115.1200000000001</v>
      </c>
      <c r="M45" s="358">
        <f t="shared" ref="M45" si="60">H45*(1+M47)</f>
        <v>1180.8400000000001</v>
      </c>
      <c r="N45" s="350">
        <f>SUM(J45:M45)</f>
        <v>4532.2508438061041</v>
      </c>
      <c r="O45" s="350">
        <f>N45*(1+O47)</f>
        <v>4613.9482729517385</v>
      </c>
      <c r="P45" s="350">
        <f t="shared" ref="P45:R45" si="61">O45*(1+P47)</f>
        <v>4697.1183632891361</v>
      </c>
      <c r="Q45" s="350">
        <f t="shared" si="61"/>
        <v>4781.7876607085209</v>
      </c>
      <c r="R45" s="358">
        <f t="shared" si="61"/>
        <v>4867.983189610919</v>
      </c>
      <c r="S45" s="187">
        <f>((R45/N45)^(1/5))-1</f>
        <v>1.4394828047298525E-2</v>
      </c>
    </row>
    <row r="46" spans="1:19" s="330" customFormat="1" x14ac:dyDescent="0.25">
      <c r="A46" s="187"/>
      <c r="B46" s="335" t="s">
        <v>214</v>
      </c>
      <c r="D46" s="341"/>
      <c r="E46" s="341"/>
      <c r="F46" s="353">
        <f>F45/E45-1</f>
        <v>0.17300380228136891</v>
      </c>
      <c r="G46" s="353">
        <f t="shared" ref="G46" si="62">G45/F45-1</f>
        <v>-0.14748784440842788</v>
      </c>
      <c r="H46" s="353">
        <f t="shared" ref="H46" si="63">H45/G45-1</f>
        <v>5.8935361216730042E-2</v>
      </c>
      <c r="I46" s="336"/>
      <c r="J46" s="353">
        <f>J45/H45-1</f>
        <v>-4.7576301615798955E-2</v>
      </c>
      <c r="M46" s="336"/>
      <c r="R46" s="336"/>
    </row>
    <row r="47" spans="1:19" s="269" customFormat="1" x14ac:dyDescent="0.25">
      <c r="A47" s="187"/>
      <c r="B47" s="335" t="s">
        <v>215</v>
      </c>
      <c r="D47" s="353">
        <f>D45/C45-1</f>
        <v>7.0878274268104668E-2</v>
      </c>
      <c r="E47" s="345"/>
      <c r="F47" s="345"/>
      <c r="G47" s="345"/>
      <c r="H47" s="345"/>
      <c r="I47" s="335">
        <f>I45/D45-1</f>
        <v>-8.4892086330935257E-2</v>
      </c>
      <c r="J47" s="353">
        <f>J45/H45-1</f>
        <v>-4.7576301615798955E-2</v>
      </c>
      <c r="K47" s="357">
        <f>J47</f>
        <v>-4.7576301615798955E-2</v>
      </c>
      <c r="L47" s="357">
        <v>0.06</v>
      </c>
      <c r="M47" s="360">
        <f t="shared" ref="L47:R47" si="64">L47</f>
        <v>0.06</v>
      </c>
      <c r="N47" s="357">
        <f>N45/I45-1</f>
        <v>1.8025796003168004E-2</v>
      </c>
      <c r="O47" s="357">
        <f t="shared" si="64"/>
        <v>1.8025796003168004E-2</v>
      </c>
      <c r="P47" s="357">
        <f t="shared" si="64"/>
        <v>1.8025796003168004E-2</v>
      </c>
      <c r="Q47" s="357">
        <f t="shared" si="64"/>
        <v>1.8025796003168004E-2</v>
      </c>
      <c r="R47" s="360">
        <f t="shared" si="64"/>
        <v>1.8025796003168004E-2</v>
      </c>
    </row>
    <row r="48" spans="1:19" s="330" customFormat="1" x14ac:dyDescent="0.25">
      <c r="B48" s="336" t="s">
        <v>201</v>
      </c>
      <c r="D48" s="341"/>
      <c r="E48" s="341"/>
      <c r="F48" s="341"/>
      <c r="G48" s="341"/>
      <c r="H48" s="341"/>
      <c r="I48" s="336"/>
      <c r="J48" s="341"/>
      <c r="M48" s="336"/>
      <c r="R48" s="336"/>
    </row>
    <row r="49" spans="1:19" s="269" customFormat="1" x14ac:dyDescent="0.25">
      <c r="B49" s="334" t="s">
        <v>198</v>
      </c>
      <c r="C49" s="269">
        <v>1664</v>
      </c>
      <c r="D49" s="345">
        <v>1614</v>
      </c>
      <c r="E49" s="345">
        <v>348</v>
      </c>
      <c r="F49" s="345">
        <v>437</v>
      </c>
      <c r="G49" s="345">
        <v>358</v>
      </c>
      <c r="H49" s="345">
        <v>398</v>
      </c>
      <c r="I49" s="334">
        <f>SUM(E49:H49)</f>
        <v>1541</v>
      </c>
      <c r="J49" s="345">
        <v>371</v>
      </c>
      <c r="K49" s="350">
        <f>F49*(1+K51)</f>
        <v>407.3542713567839</v>
      </c>
      <c r="L49" s="350">
        <f t="shared" ref="L49" si="65">G49*(1+L51)</f>
        <v>333.71356783919595</v>
      </c>
      <c r="M49" s="358">
        <f t="shared" ref="M49" si="66">H49*(1+M51)</f>
        <v>371</v>
      </c>
      <c r="N49" s="350">
        <f>SUM(J49:M49)</f>
        <v>1483.0678391959798</v>
      </c>
      <c r="O49" s="350">
        <f>N49*(1+O51)</f>
        <v>1427.3135727822405</v>
      </c>
      <c r="P49" s="350">
        <f t="shared" ref="P49:R49" si="67">O49*(1+P51)</f>
        <v>1373.6553252701176</v>
      </c>
      <c r="Q49" s="350">
        <f t="shared" si="67"/>
        <v>1322.0142991878029</v>
      </c>
      <c r="R49" s="358">
        <f t="shared" si="67"/>
        <v>1272.3146593657641</v>
      </c>
      <c r="S49" s="187">
        <f>((R49/N49)^(1/5))-1</f>
        <v>-3.0189899884405125E-2</v>
      </c>
    </row>
    <row r="50" spans="1:19" s="11" customFormat="1" x14ac:dyDescent="0.25">
      <c r="A50" s="187"/>
      <c r="B50" s="335" t="s">
        <v>214</v>
      </c>
      <c r="D50" s="333"/>
      <c r="E50" s="333"/>
      <c r="F50" s="353">
        <f>F49/E49-1</f>
        <v>0.25574712643678166</v>
      </c>
      <c r="G50" s="353">
        <f t="shared" ref="G50" si="68">G49/F49-1</f>
        <v>-0.18077803203661325</v>
      </c>
      <c r="H50" s="353">
        <f t="shared" ref="H50" si="69">H49/G49-1</f>
        <v>0.1117318435754191</v>
      </c>
      <c r="I50" s="26"/>
      <c r="J50" s="353">
        <f>J49/H49-1</f>
        <v>-6.7839195979899514E-2</v>
      </c>
      <c r="M50" s="26"/>
      <c r="R50" s="26"/>
    </row>
    <row r="51" spans="1:19" x14ac:dyDescent="0.25">
      <c r="A51" s="187"/>
      <c r="B51" s="335" t="s">
        <v>215</v>
      </c>
      <c r="D51" s="353">
        <f>D49/C49-1</f>
        <v>-3.0048076923076872E-2</v>
      </c>
      <c r="E51" s="328"/>
      <c r="F51" s="328"/>
      <c r="G51" s="328"/>
      <c r="H51" s="328"/>
      <c r="I51" s="335">
        <f>I49/D49-1</f>
        <v>-4.5229244114002531E-2</v>
      </c>
      <c r="J51" s="353">
        <f>J49/H49-1</f>
        <v>-6.7839195979899514E-2</v>
      </c>
      <c r="K51" s="357">
        <f>J51</f>
        <v>-6.7839195979899514E-2</v>
      </c>
      <c r="L51" s="357">
        <f t="shared" ref="L51:R51" si="70">K51</f>
        <v>-6.7839195979899514E-2</v>
      </c>
      <c r="M51" s="360">
        <f t="shared" si="70"/>
        <v>-6.7839195979899514E-2</v>
      </c>
      <c r="N51" s="357">
        <f>N49/I49-1</f>
        <v>-3.75938746294745E-2</v>
      </c>
      <c r="O51" s="357">
        <f t="shared" si="70"/>
        <v>-3.75938746294745E-2</v>
      </c>
      <c r="P51" s="357">
        <f t="shared" si="70"/>
        <v>-3.75938746294745E-2</v>
      </c>
      <c r="Q51" s="357">
        <f t="shared" si="70"/>
        <v>-3.75938746294745E-2</v>
      </c>
      <c r="R51" s="360">
        <f t="shared" si="70"/>
        <v>-3.75938746294745E-2</v>
      </c>
    </row>
    <row r="52" spans="1:19" s="269" customFormat="1" x14ac:dyDescent="0.25">
      <c r="A52" s="330"/>
      <c r="B52" s="336" t="s">
        <v>201</v>
      </c>
      <c r="D52" s="345"/>
      <c r="E52" s="345"/>
      <c r="F52" s="345"/>
      <c r="G52" s="345"/>
      <c r="H52" s="345"/>
      <c r="I52" s="334"/>
      <c r="J52" s="345"/>
      <c r="M52" s="334"/>
      <c r="R52" s="334"/>
    </row>
    <row r="53" spans="1:19" s="337" customFormat="1" x14ac:dyDescent="0.25">
      <c r="A53" s="191"/>
      <c r="B53" s="338" t="s">
        <v>199</v>
      </c>
      <c r="C53" s="337">
        <v>224</v>
      </c>
      <c r="D53" s="354">
        <v>250</v>
      </c>
      <c r="E53" s="354">
        <v>62</v>
      </c>
      <c r="F53" s="354">
        <v>73</v>
      </c>
      <c r="G53" s="354">
        <v>60</v>
      </c>
      <c r="H53" s="354">
        <v>63</v>
      </c>
      <c r="I53" s="334">
        <f>SUM(E53:H53)</f>
        <v>258</v>
      </c>
      <c r="J53" s="354">
        <v>58</v>
      </c>
      <c r="K53" s="350">
        <f>F53*(1+K55)</f>
        <v>67.206349206349202</v>
      </c>
      <c r="L53" s="350">
        <f t="shared" ref="L53" si="71">G53*(1+L55)</f>
        <v>55.238095238095234</v>
      </c>
      <c r="M53" s="358">
        <f t="shared" ref="M53" si="72">H53*(1+M55)</f>
        <v>58</v>
      </c>
      <c r="N53" s="350">
        <f>SUM(J53:M53)</f>
        <v>238.44444444444443</v>
      </c>
      <c r="O53" s="350">
        <f>N53*(1+O55)</f>
        <v>220.37113599387499</v>
      </c>
      <c r="P53" s="350">
        <f t="shared" ref="P53:R53" si="73">O53*(1+P55)</f>
        <v>203.66772516918851</v>
      </c>
      <c r="Q53" s="350">
        <f t="shared" si="73"/>
        <v>188.23037821407345</v>
      </c>
      <c r="R53" s="358">
        <f t="shared" si="73"/>
        <v>173.9631316310946</v>
      </c>
      <c r="S53" s="187">
        <f>((R53/N53)^(1/5))-1</f>
        <v>-6.1111538574560198E-2</v>
      </c>
    </row>
    <row r="54" spans="1:19" s="269" customFormat="1" x14ac:dyDescent="0.25">
      <c r="A54" s="187"/>
      <c r="B54" s="335" t="s">
        <v>214</v>
      </c>
      <c r="D54" s="345"/>
      <c r="E54" s="345"/>
      <c r="F54" s="353">
        <f>F53/E53-1</f>
        <v>0.17741935483870974</v>
      </c>
      <c r="G54" s="353">
        <f t="shared" ref="G54" si="74">G53/F53-1</f>
        <v>-0.17808219178082196</v>
      </c>
      <c r="H54" s="353">
        <f t="shared" ref="H54" si="75">H53/G53-1</f>
        <v>5.0000000000000044E-2</v>
      </c>
      <c r="I54" s="334"/>
      <c r="J54" s="353">
        <f>J53/H53-1</f>
        <v>-7.9365079365079416E-2</v>
      </c>
      <c r="M54" s="334"/>
      <c r="R54" s="334"/>
    </row>
    <row r="55" spans="1:19" s="330" customFormat="1" x14ac:dyDescent="0.25">
      <c r="A55" s="187"/>
      <c r="B55" s="335" t="s">
        <v>215</v>
      </c>
      <c r="D55" s="353">
        <f>D53/C53-1</f>
        <v>0.1160714285714286</v>
      </c>
      <c r="E55" s="341"/>
      <c r="F55" s="341"/>
      <c r="G55" s="341"/>
      <c r="H55" s="341"/>
      <c r="I55" s="335">
        <f>I53/D53-1</f>
        <v>3.2000000000000028E-2</v>
      </c>
      <c r="J55" s="353">
        <f>J53/H53-1</f>
        <v>-7.9365079365079416E-2</v>
      </c>
      <c r="K55" s="357">
        <f>J55</f>
        <v>-7.9365079365079416E-2</v>
      </c>
      <c r="L55" s="357">
        <f t="shared" ref="L55:R55" si="76">K55</f>
        <v>-7.9365079365079416E-2</v>
      </c>
      <c r="M55" s="360">
        <f t="shared" si="76"/>
        <v>-7.9365079365079416E-2</v>
      </c>
      <c r="N55" s="357">
        <f>N53/I53-1</f>
        <v>-7.5796726959517668E-2</v>
      </c>
      <c r="O55" s="357">
        <f t="shared" si="76"/>
        <v>-7.5796726959517668E-2</v>
      </c>
      <c r="P55" s="357">
        <f t="shared" si="76"/>
        <v>-7.5796726959517668E-2</v>
      </c>
      <c r="Q55" s="357">
        <f t="shared" si="76"/>
        <v>-7.5796726959517668E-2</v>
      </c>
      <c r="R55" s="360">
        <f t="shared" si="76"/>
        <v>-7.5796726959517668E-2</v>
      </c>
    </row>
    <row r="56" spans="1:19" s="269" customFormat="1" x14ac:dyDescent="0.25">
      <c r="A56" s="330"/>
      <c r="B56" s="336" t="s">
        <v>201</v>
      </c>
      <c r="D56" s="345"/>
      <c r="E56" s="345"/>
      <c r="F56" s="345"/>
      <c r="G56" s="345"/>
      <c r="H56" s="345"/>
      <c r="I56" s="334"/>
      <c r="J56" s="345"/>
      <c r="M56" s="334"/>
      <c r="R56" s="334"/>
    </row>
    <row r="57" spans="1:19" s="330" customFormat="1" x14ac:dyDescent="0.25">
      <c r="A57" s="11" t="s">
        <v>125</v>
      </c>
      <c r="B57" s="26" t="s">
        <v>217</v>
      </c>
      <c r="C57" s="333">
        <f>SUM(C53,C49,C45)</f>
        <v>6431</v>
      </c>
      <c r="D57" s="333">
        <f>SUM(D53,D49,D45)</f>
        <v>6729</v>
      </c>
      <c r="E57" s="333">
        <f t="shared" ref="E57:I57" si="77">SUM(E53,E49,E45)</f>
        <v>1462</v>
      </c>
      <c r="F57" s="333">
        <f t="shared" si="77"/>
        <v>1744</v>
      </c>
      <c r="G57" s="333">
        <f t="shared" si="77"/>
        <v>1470</v>
      </c>
      <c r="H57" s="333">
        <f t="shared" si="77"/>
        <v>1575</v>
      </c>
      <c r="I57" s="26">
        <f t="shared" si="77"/>
        <v>6251</v>
      </c>
      <c r="J57" s="333">
        <f t="shared" ref="J57:R57" si="78">SUM(J53,J49,J45)</f>
        <v>1490</v>
      </c>
      <c r="K57" s="333">
        <f t="shared" si="78"/>
        <v>1649.8514643692372</v>
      </c>
      <c r="L57" s="333">
        <f t="shared" si="78"/>
        <v>1504.0716630772913</v>
      </c>
      <c r="M57" s="26">
        <f t="shared" si="78"/>
        <v>1609.8400000000001</v>
      </c>
      <c r="N57" s="333">
        <f t="shared" si="78"/>
        <v>6253.7631274465284</v>
      </c>
      <c r="O57" s="333">
        <f t="shared" si="78"/>
        <v>6261.6329817278538</v>
      </c>
      <c r="P57" s="333">
        <f t="shared" si="78"/>
        <v>6274.4414137284421</v>
      </c>
      <c r="Q57" s="333">
        <f t="shared" si="78"/>
        <v>6292.0323381103972</v>
      </c>
      <c r="R57" s="26">
        <f t="shared" si="78"/>
        <v>6314.260980607778</v>
      </c>
      <c r="S57" s="187">
        <f>((R57/N57)^(1/5))-1</f>
        <v>1.9273228982894519E-3</v>
      </c>
    </row>
    <row r="58" spans="1:19" s="269" customFormat="1" x14ac:dyDescent="0.25">
      <c r="B58" s="334"/>
      <c r="D58" s="345"/>
      <c r="E58" s="345"/>
      <c r="F58" s="345"/>
      <c r="G58" s="345"/>
      <c r="H58" s="345"/>
      <c r="I58" s="334"/>
      <c r="J58" s="345"/>
      <c r="M58" s="334"/>
      <c r="R58" s="334"/>
    </row>
    <row r="59" spans="1:19" x14ac:dyDescent="0.25">
      <c r="A59" s="269"/>
      <c r="B59" s="334" t="s">
        <v>197</v>
      </c>
      <c r="C59" s="4">
        <v>2155</v>
      </c>
      <c r="D59" s="328">
        <v>1800</v>
      </c>
      <c r="E59" s="328">
        <v>473</v>
      </c>
      <c r="F59" s="328">
        <v>459</v>
      </c>
      <c r="G59" s="328">
        <v>360</v>
      </c>
      <c r="H59" s="328">
        <v>357</v>
      </c>
      <c r="I59" s="334">
        <v>1457</v>
      </c>
      <c r="J59" s="328">
        <v>310</v>
      </c>
      <c r="K59" s="350">
        <f>F59*(1+K61)</f>
        <v>421.5214285714286</v>
      </c>
      <c r="L59" s="350">
        <f t="shared" ref="L59" si="79">G59*(1+L61)</f>
        <v>381.6</v>
      </c>
      <c r="M59" s="358">
        <f t="shared" ref="M59" si="80">H59*(1+M61)</f>
        <v>396.27000000000004</v>
      </c>
      <c r="N59" s="350">
        <f>SUM(J59:M59)</f>
        <v>1509.3914285714286</v>
      </c>
      <c r="O59" s="350">
        <f>N59*(1+O61)</f>
        <v>1639.1363419466898</v>
      </c>
      <c r="P59" s="350">
        <f t="shared" ref="P59:R59" si="81">O59*(1+P61)</f>
        <v>1861.9907411227816</v>
      </c>
      <c r="Q59" s="350">
        <f t="shared" si="81"/>
        <v>2208.2436109831656</v>
      </c>
      <c r="R59" s="358">
        <f t="shared" si="81"/>
        <v>2729.2973005189465</v>
      </c>
      <c r="S59" s="187">
        <f>((R59/N59)^(1/5))-1</f>
        <v>0.1257703163314301</v>
      </c>
    </row>
    <row r="60" spans="1:19" x14ac:dyDescent="0.25">
      <c r="A60" s="187"/>
      <c r="B60" s="335" t="s">
        <v>214</v>
      </c>
      <c r="D60" s="328"/>
      <c r="E60" s="328"/>
      <c r="F60" s="353">
        <f>F59/E59-1</f>
        <v>-2.9598308668076112E-2</v>
      </c>
      <c r="G60" s="353">
        <f t="shared" ref="G60" si="82">G59/F59-1</f>
        <v>-0.21568627450980393</v>
      </c>
      <c r="H60" s="353">
        <f t="shared" ref="H60" si="83">H59/G59-1</f>
        <v>-8.3333333333333037E-3</v>
      </c>
      <c r="I60" s="29"/>
      <c r="J60" s="353">
        <f>J59/H59-1</f>
        <v>-0.13165266106442575</v>
      </c>
      <c r="M60" s="29"/>
      <c r="R60" s="29"/>
    </row>
    <row r="61" spans="1:19" x14ac:dyDescent="0.25">
      <c r="A61" s="187"/>
      <c r="B61" s="335" t="s">
        <v>215</v>
      </c>
      <c r="D61" s="353">
        <f>D59/C59-1</f>
        <v>-0.16473317865429238</v>
      </c>
      <c r="E61" s="328"/>
      <c r="F61" s="328"/>
      <c r="G61" s="328"/>
      <c r="H61" s="328"/>
      <c r="I61" s="335">
        <f>I59/D59-1</f>
        <v>-0.19055555555555559</v>
      </c>
      <c r="J61" s="353">
        <f>J59/H59-1</f>
        <v>-0.13165266106442575</v>
      </c>
      <c r="K61" s="357">
        <f>J61+0.05</f>
        <v>-8.1652661064425744E-2</v>
      </c>
      <c r="L61" s="357">
        <v>0.06</v>
      </c>
      <c r="M61" s="360">
        <f t="shared" ref="L61:R61" si="84">L61+0.05</f>
        <v>0.11</v>
      </c>
      <c r="N61" s="357">
        <f>N59/I59-1</f>
        <v>3.5958427296793882E-2</v>
      </c>
      <c r="O61" s="357">
        <f t="shared" si="84"/>
        <v>8.5958427296793885E-2</v>
      </c>
      <c r="P61" s="357">
        <f t="shared" si="84"/>
        <v>0.13595842729679389</v>
      </c>
      <c r="Q61" s="357">
        <f t="shared" si="84"/>
        <v>0.1859584272967939</v>
      </c>
      <c r="R61" s="360">
        <f t="shared" si="84"/>
        <v>0.23595842729679389</v>
      </c>
    </row>
    <row r="62" spans="1:19" x14ac:dyDescent="0.25">
      <c r="A62" s="330"/>
      <c r="B62" s="336" t="s">
        <v>216</v>
      </c>
      <c r="D62" s="328"/>
      <c r="E62" s="328"/>
      <c r="F62" s="328"/>
      <c r="G62" s="328"/>
      <c r="H62" s="328"/>
      <c r="I62" s="29"/>
      <c r="J62" s="328"/>
      <c r="M62" s="29"/>
      <c r="R62" s="29"/>
    </row>
    <row r="63" spans="1:19" x14ac:dyDescent="0.25">
      <c r="A63" s="269"/>
      <c r="B63" s="334" t="s">
        <v>198</v>
      </c>
      <c r="C63" s="4">
        <v>90</v>
      </c>
      <c r="D63" s="328">
        <v>93</v>
      </c>
      <c r="E63" s="328">
        <v>23</v>
      </c>
      <c r="F63" s="328">
        <v>21</v>
      </c>
      <c r="G63" s="328">
        <v>15</v>
      </c>
      <c r="H63" s="328">
        <v>0</v>
      </c>
      <c r="I63" s="334">
        <v>80</v>
      </c>
      <c r="J63" s="328">
        <v>46</v>
      </c>
      <c r="K63" s="328">
        <v>46</v>
      </c>
      <c r="L63" s="328">
        <v>46</v>
      </c>
      <c r="M63" s="29">
        <v>46</v>
      </c>
      <c r="N63" s="328">
        <f>SUM(J63:M63)</f>
        <v>184</v>
      </c>
      <c r="O63" s="328">
        <f>N63*1.05</f>
        <v>193.20000000000002</v>
      </c>
      <c r="P63" s="328">
        <f t="shared" ref="P63:R63" si="85">O63*1.05</f>
        <v>202.86</v>
      </c>
      <c r="Q63" s="328">
        <f t="shared" si="85"/>
        <v>213.00300000000001</v>
      </c>
      <c r="R63" s="29">
        <f t="shared" si="85"/>
        <v>223.65315000000001</v>
      </c>
    </row>
    <row r="64" spans="1:19" x14ac:dyDescent="0.25">
      <c r="A64" s="269"/>
      <c r="B64" s="334" t="s">
        <v>199</v>
      </c>
      <c r="C64" s="4">
        <v>28</v>
      </c>
      <c r="D64" s="328">
        <v>37</v>
      </c>
      <c r="E64" s="328">
        <v>13</v>
      </c>
      <c r="F64" s="328">
        <v>14</v>
      </c>
      <c r="G64" s="328">
        <v>10</v>
      </c>
      <c r="H64" s="328">
        <v>0</v>
      </c>
      <c r="I64" s="334">
        <v>32</v>
      </c>
      <c r="J64" s="328">
        <v>10</v>
      </c>
      <c r="K64" s="328">
        <v>10</v>
      </c>
      <c r="L64" s="328">
        <v>10</v>
      </c>
      <c r="M64" s="29">
        <v>10</v>
      </c>
      <c r="N64" s="328">
        <f t="shared" ref="N64:N65" si="86">SUM(J64:M64)</f>
        <v>40</v>
      </c>
      <c r="O64" s="328">
        <f t="shared" ref="O64:R64" si="87">N64*1.05</f>
        <v>42</v>
      </c>
      <c r="P64" s="328">
        <f t="shared" si="87"/>
        <v>44.1</v>
      </c>
      <c r="Q64" s="328">
        <f t="shared" si="87"/>
        <v>46.305000000000007</v>
      </c>
      <c r="R64" s="29">
        <f t="shared" si="87"/>
        <v>48.620250000000006</v>
      </c>
    </row>
    <row r="65" spans="1:19" x14ac:dyDescent="0.25">
      <c r="A65" s="269"/>
      <c r="B65" s="334" t="s">
        <v>200</v>
      </c>
      <c r="C65" s="4">
        <v>154</v>
      </c>
      <c r="D65" s="328">
        <v>152</v>
      </c>
      <c r="E65" s="328">
        <v>42</v>
      </c>
      <c r="F65" s="328">
        <v>35</v>
      </c>
      <c r="G65" s="328">
        <v>20</v>
      </c>
      <c r="H65" s="328"/>
      <c r="I65" s="334">
        <v>123</v>
      </c>
      <c r="J65" s="328">
        <v>0</v>
      </c>
      <c r="K65" s="328">
        <v>0</v>
      </c>
      <c r="L65" s="328">
        <v>0</v>
      </c>
      <c r="M65" s="29">
        <v>0</v>
      </c>
      <c r="N65" s="328">
        <f t="shared" si="86"/>
        <v>0</v>
      </c>
      <c r="O65" s="328">
        <f t="shared" ref="O65:R65" si="88">N65*1.05</f>
        <v>0</v>
      </c>
      <c r="P65" s="328">
        <f t="shared" si="88"/>
        <v>0</v>
      </c>
      <c r="Q65" s="328">
        <f t="shared" si="88"/>
        <v>0</v>
      </c>
      <c r="R65" s="29">
        <f t="shared" si="88"/>
        <v>0</v>
      </c>
    </row>
    <row r="66" spans="1:19" x14ac:dyDescent="0.25">
      <c r="A66" s="11" t="s">
        <v>125</v>
      </c>
      <c r="B66" s="26" t="s">
        <v>213</v>
      </c>
      <c r="C66" s="11">
        <f>SUM(C63,C59)</f>
        <v>2245</v>
      </c>
      <c r="D66" s="333">
        <f t="shared" ref="D66:J66" si="89">SUM(D63,D59)</f>
        <v>1893</v>
      </c>
      <c r="E66" s="333">
        <f t="shared" si="89"/>
        <v>496</v>
      </c>
      <c r="F66" s="333">
        <f t="shared" si="89"/>
        <v>480</v>
      </c>
      <c r="G66" s="333">
        <f t="shared" si="89"/>
        <v>375</v>
      </c>
      <c r="H66" s="333">
        <f t="shared" si="89"/>
        <v>357</v>
      </c>
      <c r="I66" s="26">
        <f>SUM(I63:I65,I59)</f>
        <v>1692</v>
      </c>
      <c r="J66" s="333">
        <f t="shared" si="89"/>
        <v>356</v>
      </c>
      <c r="K66" s="333">
        <f t="shared" ref="K66" si="90">SUM(K63,K59)</f>
        <v>467.5214285714286</v>
      </c>
      <c r="L66" s="333">
        <f t="shared" ref="L66" si="91">SUM(L63,L59)</f>
        <v>427.6</v>
      </c>
      <c r="M66" s="26">
        <f t="shared" ref="M66" si="92">SUM(M63,M59)</f>
        <v>442.27000000000004</v>
      </c>
      <c r="N66" s="333">
        <f t="shared" ref="N66" si="93">SUM(N63,N59)</f>
        <v>1693.3914285714286</v>
      </c>
      <c r="O66" s="333">
        <f t="shared" ref="O66" si="94">SUM(O63,O59)</f>
        <v>1832.3363419466898</v>
      </c>
      <c r="P66" s="333">
        <f t="shared" ref="P66" si="95">SUM(P63,P59)</f>
        <v>2064.8507411227815</v>
      </c>
      <c r="Q66" s="333">
        <f t="shared" ref="Q66" si="96">SUM(Q63,Q59)</f>
        <v>2421.2466109831657</v>
      </c>
      <c r="R66" s="26">
        <f t="shared" ref="R66" si="97">SUM(R63,R59)</f>
        <v>2952.9504505189466</v>
      </c>
      <c r="S66" s="187">
        <f>((R66/N66)^(1/5))-1</f>
        <v>0.11763439978850365</v>
      </c>
    </row>
    <row r="67" spans="1:19" s="187" customFormat="1" x14ac:dyDescent="0.25">
      <c r="A67" s="339"/>
      <c r="B67" s="335" t="s">
        <v>214</v>
      </c>
      <c r="C67" s="339"/>
      <c r="D67" s="355"/>
      <c r="E67" s="355"/>
      <c r="F67" s="353">
        <f>F66/E66-1</f>
        <v>-3.2258064516129004E-2</v>
      </c>
      <c r="G67" s="353">
        <f t="shared" ref="G67" si="98">G66/F66-1</f>
        <v>-0.21875</v>
      </c>
      <c r="H67" s="353">
        <f t="shared" ref="H67" si="99">H66/G66-1</f>
        <v>-4.8000000000000043E-2</v>
      </c>
      <c r="I67" s="340"/>
      <c r="J67" s="353">
        <f>J66/H66-1</f>
        <v>-2.8011204481792618E-3</v>
      </c>
      <c r="M67" s="335"/>
      <c r="R67" s="335"/>
    </row>
    <row r="68" spans="1:19" s="187" customFormat="1" x14ac:dyDescent="0.25">
      <c r="A68" s="339"/>
      <c r="B68" s="335" t="s">
        <v>215</v>
      </c>
      <c r="C68" s="339"/>
      <c r="D68" s="353">
        <f>D66/C66-1</f>
        <v>-0.15679287305122491</v>
      </c>
      <c r="E68" s="355"/>
      <c r="F68" s="355"/>
      <c r="G68" s="355"/>
      <c r="H68" s="355"/>
      <c r="I68" s="335">
        <f>I66/D66-1</f>
        <v>-0.10618066561014261</v>
      </c>
      <c r="J68" s="353">
        <f>J66/H66-1</f>
        <v>-2.8011204481792618E-3</v>
      </c>
      <c r="K68" s="357">
        <f>J68</f>
        <v>-2.8011204481792618E-3</v>
      </c>
      <c r="L68" s="357">
        <f t="shared" ref="L68:R68" si="100">K68</f>
        <v>-2.8011204481792618E-3</v>
      </c>
      <c r="M68" s="360">
        <f t="shared" si="100"/>
        <v>-2.8011204481792618E-3</v>
      </c>
      <c r="N68" s="357">
        <f>N66/I66-1</f>
        <v>8.2235731171897974E-4</v>
      </c>
      <c r="O68" s="357">
        <f t="shared" si="100"/>
        <v>8.2235731171897974E-4</v>
      </c>
      <c r="P68" s="357">
        <f t="shared" si="100"/>
        <v>8.2235731171897974E-4</v>
      </c>
      <c r="Q68" s="357">
        <f t="shared" si="100"/>
        <v>8.2235731171897974E-4</v>
      </c>
      <c r="R68" s="360">
        <f t="shared" si="100"/>
        <v>8.2235731171897974E-4</v>
      </c>
    </row>
    <row r="69" spans="1:19" x14ac:dyDescent="0.25">
      <c r="B69" s="29"/>
      <c r="D69" s="328"/>
      <c r="E69" s="328"/>
      <c r="F69" s="328"/>
      <c r="G69" s="328"/>
      <c r="H69" s="328"/>
      <c r="I69" s="29"/>
      <c r="J69" s="328"/>
      <c r="M69" s="58"/>
      <c r="R69" s="58"/>
    </row>
    <row r="70" spans="1:19" s="11" customFormat="1" x14ac:dyDescent="0.25">
      <c r="A70" s="368"/>
      <c r="B70" s="369" t="s">
        <v>221</v>
      </c>
      <c r="C70" s="36">
        <f>SUM(C3,C17,C31,C45,C59)</f>
        <v>35290</v>
      </c>
      <c r="D70" s="36">
        <f t="shared" ref="D70:R70" si="101">SUM(D3,D17,D31,D45,D59)</f>
        <v>35227</v>
      </c>
      <c r="E70" s="36">
        <f t="shared" si="101"/>
        <v>7935</v>
      </c>
      <c r="F70" s="36">
        <f t="shared" si="101"/>
        <v>8114</v>
      </c>
      <c r="G70" s="36">
        <f t="shared" si="101"/>
        <v>7568</v>
      </c>
      <c r="H70" s="36">
        <f t="shared" si="101"/>
        <v>7542</v>
      </c>
      <c r="I70" s="37">
        <f t="shared" si="101"/>
        <v>30967</v>
      </c>
      <c r="J70" s="36">
        <f t="shared" si="101"/>
        <v>7720</v>
      </c>
      <c r="K70" s="36">
        <f t="shared" si="101"/>
        <v>8310.924607818195</v>
      </c>
      <c r="L70" s="36">
        <f t="shared" si="101"/>
        <v>8022.0800000000008</v>
      </c>
      <c r="M70" s="37">
        <f t="shared" si="101"/>
        <v>8012.3700000000008</v>
      </c>
      <c r="N70" s="36">
        <f t="shared" si="101"/>
        <v>32065.374607818194</v>
      </c>
      <c r="O70" s="36">
        <f t="shared" si="101"/>
        <v>33286.166851956543</v>
      </c>
      <c r="P70" s="36">
        <f t="shared" si="101"/>
        <v>34647.247825256622</v>
      </c>
      <c r="Q70" s="36">
        <f t="shared" si="101"/>
        <v>36181.125519602298</v>
      </c>
      <c r="R70" s="37">
        <f t="shared" si="101"/>
        <v>37941.530470169135</v>
      </c>
      <c r="S70" s="187">
        <f>((R70/N70)^(1/5))-1</f>
        <v>3.4226604665875682E-2</v>
      </c>
    </row>
    <row r="71" spans="1:19" x14ac:dyDescent="0.25">
      <c r="A71" s="187"/>
      <c r="B71" s="335" t="s">
        <v>214</v>
      </c>
      <c r="C71" s="11"/>
      <c r="D71" s="333"/>
      <c r="E71" s="333"/>
      <c r="F71" s="353">
        <f>F70/E70-1</f>
        <v>2.2558286074354061E-2</v>
      </c>
      <c r="G71" s="353">
        <f t="shared" ref="G71" si="102">G70/F70-1</f>
        <v>-6.7291101799359154E-2</v>
      </c>
      <c r="H71" s="353">
        <f t="shared" ref="H71" si="103">H70/G70-1</f>
        <v>-3.435517970401647E-3</v>
      </c>
      <c r="I71" s="26"/>
      <c r="J71" s="353">
        <f>J70/H70-1</f>
        <v>2.36011667992575E-2</v>
      </c>
      <c r="K71" s="187">
        <f>K70/H70-1</f>
        <v>0.10195234789421836</v>
      </c>
      <c r="L71" s="187">
        <f>L70/K70-1</f>
        <v>-3.4754810258593172E-2</v>
      </c>
      <c r="M71" s="335">
        <f>M70/L70-1</f>
        <v>-1.2104092704137148E-3</v>
      </c>
      <c r="N71" s="187"/>
      <c r="O71" s="187"/>
      <c r="P71" s="187"/>
      <c r="Q71" s="187"/>
      <c r="R71" s="335"/>
    </row>
    <row r="72" spans="1:19" x14ac:dyDescent="0.25">
      <c r="A72" s="187"/>
      <c r="B72" s="335" t="s">
        <v>215</v>
      </c>
      <c r="C72" s="11"/>
      <c r="D72" s="353">
        <f>D70/C70-1</f>
        <v>-1.7852082742986219E-3</v>
      </c>
      <c r="E72" s="333"/>
      <c r="F72" s="333"/>
      <c r="G72" s="333"/>
      <c r="H72" s="333"/>
      <c r="I72" s="335">
        <f>I70/D70-1</f>
        <v>-0.12092996849007864</v>
      </c>
      <c r="J72" s="353">
        <f>J70/H70-1</f>
        <v>2.36011667992575E-2</v>
      </c>
      <c r="K72" s="357">
        <f>K70/F70-1</f>
        <v>2.4269732292111712E-2</v>
      </c>
      <c r="L72" s="357">
        <f>L70/G70-1</f>
        <v>6.0000000000000053E-2</v>
      </c>
      <c r="M72" s="360">
        <f>M70/H70-1</f>
        <v>6.2366746221161673E-2</v>
      </c>
      <c r="N72" s="357">
        <f>N70/I70-1</f>
        <v>3.5469196493628452E-2</v>
      </c>
      <c r="O72" s="357">
        <f>O70/N70-1</f>
        <v>3.8071978234138326E-2</v>
      </c>
      <c r="P72" s="357">
        <f>P70/O70-1</f>
        <v>4.0890288730258906E-2</v>
      </c>
      <c r="Q72" s="357">
        <f>Q70/P70-1</f>
        <v>4.4271270898103898E-2</v>
      </c>
      <c r="R72" s="360">
        <f>R70/Q70-1</f>
        <v>4.8655339635940376E-2</v>
      </c>
    </row>
    <row r="73" spans="1:19" x14ac:dyDescent="0.25">
      <c r="A73" s="330"/>
      <c r="B73" s="336" t="s">
        <v>216</v>
      </c>
      <c r="C73" s="333"/>
      <c r="D73" s="333"/>
      <c r="E73" s="333"/>
      <c r="F73" s="333"/>
      <c r="G73" s="333"/>
      <c r="H73" s="333"/>
      <c r="I73" s="26"/>
      <c r="J73" s="333"/>
      <c r="K73" s="187"/>
      <c r="L73" s="187"/>
      <c r="M73" s="335"/>
      <c r="N73" s="187"/>
      <c r="O73" s="187"/>
      <c r="P73" s="187"/>
      <c r="Q73" s="187"/>
      <c r="R73" s="335"/>
    </row>
    <row r="74" spans="1:19" s="11" customFormat="1" x14ac:dyDescent="0.25">
      <c r="A74" s="349"/>
      <c r="B74" s="348" t="s">
        <v>223</v>
      </c>
      <c r="C74" s="333">
        <f>SUM(C7,C21,C35,C49,C63)</f>
        <v>13933</v>
      </c>
      <c r="D74" s="333">
        <f t="shared" ref="D74:R74" si="104">SUM(D7,D21,D35,D49,D63)</f>
        <v>13868</v>
      </c>
      <c r="E74" s="333">
        <f t="shared" si="104"/>
        <v>3055</v>
      </c>
      <c r="F74" s="333">
        <f t="shared" si="104"/>
        <v>3759</v>
      </c>
      <c r="G74" s="333">
        <f t="shared" si="104"/>
        <v>3208</v>
      </c>
      <c r="H74" s="333">
        <f t="shared" si="104"/>
        <v>3002</v>
      </c>
      <c r="I74" s="26">
        <f t="shared" si="104"/>
        <v>13045</v>
      </c>
      <c r="J74" s="333">
        <f t="shared" si="104"/>
        <v>3359</v>
      </c>
      <c r="K74" s="333">
        <f t="shared" si="104"/>
        <v>4180.287169180694</v>
      </c>
      <c r="L74" s="333">
        <f t="shared" si="104"/>
        <v>3575.7556311370827</v>
      </c>
      <c r="M74" s="26">
        <f t="shared" si="104"/>
        <v>3359</v>
      </c>
      <c r="N74" s="333">
        <f t="shared" si="104"/>
        <v>14474.042800317777</v>
      </c>
      <c r="O74" s="333">
        <f t="shared" si="104"/>
        <v>16020.053517003875</v>
      </c>
      <c r="P74" s="333">
        <f t="shared" si="104"/>
        <v>17809.795681142597</v>
      </c>
      <c r="Q74" s="333">
        <f t="shared" si="104"/>
        <v>19879.683872284797</v>
      </c>
      <c r="R74" s="26">
        <f t="shared" si="104"/>
        <v>22271.792117109973</v>
      </c>
      <c r="S74" s="187">
        <f>((R74/N74)^(1/5))-1</f>
        <v>9.0016475603786228E-2</v>
      </c>
    </row>
    <row r="75" spans="1:19" x14ac:dyDescent="0.25">
      <c r="A75" s="187"/>
      <c r="B75" s="335" t="s">
        <v>214</v>
      </c>
      <c r="C75" s="11"/>
      <c r="D75" s="333"/>
      <c r="E75" s="333"/>
      <c r="F75" s="353">
        <f>F74/E74-1</f>
        <v>0.23044189852700492</v>
      </c>
      <c r="G75" s="353">
        <f t="shared" ref="G75" si="105">G74/F74-1</f>
        <v>-0.1465815376429902</v>
      </c>
      <c r="H75" s="353">
        <f t="shared" ref="H75" si="106">H74/G74-1</f>
        <v>-6.4214463840398972E-2</v>
      </c>
      <c r="I75" s="26"/>
      <c r="J75" s="353">
        <f>J74/H74-1</f>
        <v>0.11892071952031968</v>
      </c>
      <c r="K75" s="187">
        <f>K74/H74-1</f>
        <v>0.39250072257851243</v>
      </c>
      <c r="L75" s="187">
        <f>L74/K74-1</f>
        <v>-0.14461483471770553</v>
      </c>
      <c r="M75" s="335">
        <f>M74/L74-1</f>
        <v>-6.0618133199486834E-2</v>
      </c>
      <c r="N75" s="187"/>
      <c r="O75" s="187"/>
      <c r="P75" s="187"/>
      <c r="Q75" s="187"/>
      <c r="R75" s="335"/>
    </row>
    <row r="76" spans="1:19" x14ac:dyDescent="0.25">
      <c r="A76" s="187"/>
      <c r="B76" s="335" t="s">
        <v>215</v>
      </c>
      <c r="C76" s="11"/>
      <c r="D76" s="353">
        <f>D74/C74-1</f>
        <v>-4.6651833775928075E-3</v>
      </c>
      <c r="E76" s="333"/>
      <c r="F76" s="333"/>
      <c r="G76" s="333"/>
      <c r="H76" s="333"/>
      <c r="I76" s="335">
        <f>I74/D74-1</f>
        <v>-5.9345255263916985E-2</v>
      </c>
      <c r="J76" s="353">
        <f>J74/H74-1</f>
        <v>0.11892071952031968</v>
      </c>
      <c r="K76" s="357">
        <f>K74/F74-1</f>
        <v>0.11207426687435329</v>
      </c>
      <c r="L76" s="357">
        <f>L74/G74-1</f>
        <v>0.11463704212502579</v>
      </c>
      <c r="M76" s="360">
        <f>M74/H74-1</f>
        <v>0.11892071952031968</v>
      </c>
      <c r="N76" s="357">
        <f>N74/I74-1</f>
        <v>0.10954716752148541</v>
      </c>
      <c r="O76" s="357">
        <f>O74/N74-1</f>
        <v>0.10681263956550935</v>
      </c>
      <c r="P76" s="357">
        <f>P74/O74-1</f>
        <v>0.11171886300124201</v>
      </c>
      <c r="Q76" s="357">
        <f>Q74/P74-1</f>
        <v>0.11622189429909313</v>
      </c>
      <c r="R76" s="360">
        <f>R74/Q74-1</f>
        <v>0.12032928995214687</v>
      </c>
    </row>
    <row r="77" spans="1:19" x14ac:dyDescent="0.25">
      <c r="A77" s="330"/>
      <c r="B77" s="336" t="s">
        <v>216</v>
      </c>
      <c r="C77" s="11"/>
      <c r="D77" s="333"/>
      <c r="E77" s="333"/>
      <c r="F77" s="333"/>
      <c r="G77" s="333"/>
      <c r="H77" s="333"/>
      <c r="I77" s="26"/>
      <c r="J77" s="333"/>
      <c r="K77" s="187"/>
      <c r="L77" s="187"/>
      <c r="M77" s="335"/>
      <c r="N77" s="187"/>
      <c r="O77" s="187"/>
      <c r="P77" s="187"/>
      <c r="Q77" s="187"/>
      <c r="R77" s="335"/>
    </row>
    <row r="78" spans="1:19" s="11" customFormat="1" x14ac:dyDescent="0.25">
      <c r="A78" s="349"/>
      <c r="B78" s="348" t="s">
        <v>222</v>
      </c>
      <c r="C78" s="333">
        <f>SUM(C11,C25,C39,C53,C64)</f>
        <v>1755</v>
      </c>
      <c r="D78" s="333">
        <f t="shared" ref="D78:R78" si="107">SUM(D11,D25,D39,D53,D64)</f>
        <v>2112</v>
      </c>
      <c r="E78" s="333">
        <f t="shared" si="107"/>
        <v>616</v>
      </c>
      <c r="F78" s="333">
        <f t="shared" si="107"/>
        <v>558</v>
      </c>
      <c r="G78" s="333">
        <f t="shared" si="107"/>
        <v>487</v>
      </c>
      <c r="H78" s="333">
        <f t="shared" si="107"/>
        <v>567</v>
      </c>
      <c r="I78" s="26">
        <f>SUM(I11,I25,I39,I53,I64)</f>
        <v>2223</v>
      </c>
      <c r="J78" s="333">
        <f t="shared" si="107"/>
        <v>640</v>
      </c>
      <c r="K78" s="333">
        <f t="shared" si="107"/>
        <v>614.61125354889396</v>
      </c>
      <c r="L78" s="333">
        <f t="shared" si="107"/>
        <v>547.01461209202785</v>
      </c>
      <c r="M78" s="26">
        <f t="shared" si="107"/>
        <v>645.91999999999996</v>
      </c>
      <c r="N78" s="333">
        <f t="shared" si="107"/>
        <v>2447.5458656409219</v>
      </c>
      <c r="O78" s="333">
        <f t="shared" si="107"/>
        <v>2696.5001935421487</v>
      </c>
      <c r="P78" s="333">
        <f t="shared" si="107"/>
        <v>2979.4051564585575</v>
      </c>
      <c r="Q78" s="333">
        <f t="shared" si="107"/>
        <v>3300.1545004377645</v>
      </c>
      <c r="R78" s="26">
        <f t="shared" si="107"/>
        <v>3663.1422870015422</v>
      </c>
      <c r="S78" s="187">
        <f>((R78/N78)^(1/5))-1</f>
        <v>8.3988287943278728E-2</v>
      </c>
    </row>
    <row r="79" spans="1:19" x14ac:dyDescent="0.25">
      <c r="A79" s="187"/>
      <c r="B79" s="335" t="s">
        <v>214</v>
      </c>
      <c r="C79" s="11"/>
      <c r="D79" s="333"/>
      <c r="E79" s="333"/>
      <c r="F79" s="353">
        <f>F78/E78-1</f>
        <v>-9.4155844155844104E-2</v>
      </c>
      <c r="G79" s="353">
        <f t="shared" ref="G79" si="108">G78/F78-1</f>
        <v>-0.12724014336917566</v>
      </c>
      <c r="H79" s="353">
        <f t="shared" ref="H79" si="109">H78/G78-1</f>
        <v>0.16427104722792607</v>
      </c>
      <c r="I79" s="26"/>
      <c r="J79" s="353">
        <f>J78/H78-1</f>
        <v>0.12874779541446202</v>
      </c>
      <c r="K79" s="187">
        <f>K78/H78-1</f>
        <v>8.3970464812864076E-2</v>
      </c>
      <c r="L79" s="187">
        <f>L78/K78-1</f>
        <v>-0.1099827591287158</v>
      </c>
      <c r="M79" s="335">
        <f>M78/L78-1</f>
        <v>0.18080940750323604</v>
      </c>
      <c r="N79" s="187"/>
      <c r="O79" s="187"/>
      <c r="P79" s="187"/>
      <c r="Q79" s="187"/>
      <c r="R79" s="335"/>
    </row>
    <row r="80" spans="1:19" x14ac:dyDescent="0.25">
      <c r="A80" s="187"/>
      <c r="B80" s="335" t="s">
        <v>215</v>
      </c>
      <c r="C80" s="11"/>
      <c r="D80" s="353">
        <f>D78/C78-1</f>
        <v>0.20341880341880336</v>
      </c>
      <c r="E80" s="333"/>
      <c r="F80" s="333"/>
      <c r="G80" s="333"/>
      <c r="H80" s="333"/>
      <c r="I80" s="335">
        <f>I78/D78-1</f>
        <v>5.2556818181818121E-2</v>
      </c>
      <c r="J80" s="353">
        <f>J78/H78-1</f>
        <v>0.12874779541446202</v>
      </c>
      <c r="K80" s="357">
        <f>K78/F78-1</f>
        <v>0.10145385940661988</v>
      </c>
      <c r="L80" s="357">
        <f>L78/G78-1</f>
        <v>0.12323328971668968</v>
      </c>
      <c r="M80" s="360">
        <f>M78/H78-1</f>
        <v>0.13918871252204568</v>
      </c>
      <c r="N80" s="357">
        <f>N78/I78-1</f>
        <v>0.10101028593833639</v>
      </c>
      <c r="O80" s="357">
        <f>O78/N78-1</f>
        <v>0.10171589893210631</v>
      </c>
      <c r="P80" s="357">
        <f>P78/O78-1</f>
        <v>0.10491561009116124</v>
      </c>
      <c r="Q80" s="357">
        <f>Q78/P78-1</f>
        <v>0.10765549736795865</v>
      </c>
      <c r="R80" s="360">
        <f>R78/Q78-1</f>
        <v>0.10999114935850041</v>
      </c>
    </row>
    <row r="81" spans="1:19" x14ac:dyDescent="0.25">
      <c r="A81" s="341"/>
      <c r="B81" s="336" t="s">
        <v>216</v>
      </c>
      <c r="C81" s="11"/>
      <c r="D81" s="333"/>
      <c r="E81" s="333"/>
      <c r="F81" s="333"/>
      <c r="G81" s="333"/>
      <c r="H81" s="333"/>
      <c r="I81" s="26"/>
      <c r="J81" s="333"/>
      <c r="K81" s="187"/>
      <c r="L81" s="187"/>
      <c r="M81" s="335"/>
      <c r="N81" s="187"/>
      <c r="O81" s="187"/>
      <c r="P81" s="187"/>
      <c r="Q81" s="187"/>
      <c r="R81" s="335"/>
    </row>
    <row r="82" spans="1:19" s="347" customFormat="1" x14ac:dyDescent="0.25">
      <c r="A82" s="343"/>
      <c r="B82" s="146" t="s">
        <v>200</v>
      </c>
      <c r="C82" s="125">
        <v>239</v>
      </c>
      <c r="D82" s="347">
        <v>155</v>
      </c>
      <c r="I82" s="344">
        <v>74</v>
      </c>
      <c r="J82" s="347">
        <v>0</v>
      </c>
      <c r="K82" s="347">
        <v>0</v>
      </c>
      <c r="L82" s="347">
        <v>0</v>
      </c>
      <c r="M82" s="344">
        <v>0</v>
      </c>
      <c r="N82" s="347">
        <v>0</v>
      </c>
      <c r="O82" s="347">
        <v>0</v>
      </c>
      <c r="P82" s="347">
        <v>0</v>
      </c>
      <c r="Q82" s="347">
        <v>0</v>
      </c>
      <c r="R82" s="344">
        <v>0</v>
      </c>
    </row>
    <row r="83" spans="1:19" s="333" customFormat="1" x14ac:dyDescent="0.25">
      <c r="A83" s="333" t="s">
        <v>125</v>
      </c>
      <c r="B83" s="26" t="s">
        <v>218</v>
      </c>
      <c r="C83" s="333">
        <f>SUM(C70,C74,C78,C82)</f>
        <v>51217</v>
      </c>
      <c r="D83" s="333">
        <f t="shared" ref="D83:J83" si="110">SUM(D70,D74,D78,D82)</f>
        <v>51362</v>
      </c>
      <c r="E83" s="333">
        <f t="shared" si="110"/>
        <v>11606</v>
      </c>
      <c r="F83" s="333">
        <f t="shared" si="110"/>
        <v>12431</v>
      </c>
      <c r="G83" s="333">
        <f t="shared" si="110"/>
        <v>11263</v>
      </c>
      <c r="H83" s="333">
        <f t="shared" si="110"/>
        <v>11111</v>
      </c>
      <c r="I83" s="26">
        <f t="shared" si="110"/>
        <v>46309</v>
      </c>
      <c r="J83" s="333">
        <f t="shared" si="110"/>
        <v>11719</v>
      </c>
      <c r="K83" s="333">
        <f t="shared" ref="K83" si="111">SUM(K70,K74,K78,K82)</f>
        <v>13105.823030547783</v>
      </c>
      <c r="L83" s="333">
        <f t="shared" ref="L83" si="112">SUM(L70,L74,L78,L82)</f>
        <v>12144.850243229112</v>
      </c>
      <c r="M83" s="26">
        <f t="shared" ref="M83" si="113">SUM(M70,M74,M78,M82)</f>
        <v>12017.29</v>
      </c>
      <c r="N83" s="333">
        <f t="shared" ref="N83" si="114">SUM(N70,N74,N78,N82)</f>
        <v>48986.963273776892</v>
      </c>
      <c r="O83" s="333">
        <f t="shared" ref="O83" si="115">SUM(O70,O74,O78,O82)</f>
        <v>52002.720562502567</v>
      </c>
      <c r="P83" s="333">
        <f t="shared" ref="P83" si="116">SUM(P70,P74,P78,P82)</f>
        <v>55436.44866285778</v>
      </c>
      <c r="Q83" s="333">
        <f t="shared" ref="Q83" si="117">SUM(Q70,Q74,Q78,Q82)</f>
        <v>59360.963892324857</v>
      </c>
      <c r="R83" s="26">
        <f t="shared" ref="R83" si="118">SUM(R70,R74,R78,R82)</f>
        <v>63876.464874280653</v>
      </c>
      <c r="S83" s="187">
        <f>((R83/N83)^(1/5))-1</f>
        <v>5.4513322627802063E-2</v>
      </c>
    </row>
    <row r="84" spans="1:19" s="328" customFormat="1" x14ac:dyDescent="0.25">
      <c r="A84" s="4"/>
      <c r="B84" s="335" t="s">
        <v>214</v>
      </c>
      <c r="C84" s="4"/>
      <c r="F84" s="353">
        <f>F83/E83-1</f>
        <v>7.108392210925385E-2</v>
      </c>
      <c r="G84" s="353">
        <f t="shared" ref="G84" si="119">G83/F83-1</f>
        <v>-9.3958651757702571E-2</v>
      </c>
      <c r="H84" s="353">
        <f t="shared" ref="H84" si="120">H83/G83-1</f>
        <v>-1.3495516292284515E-2</v>
      </c>
      <c r="I84" s="29"/>
      <c r="J84" s="353">
        <f>J83/H83-1</f>
        <v>5.4720547205472148E-2</v>
      </c>
      <c r="K84" s="187">
        <f>K83/H83-1</f>
        <v>0.1795358681079815</v>
      </c>
      <c r="L84" s="187">
        <f>L83/K83-1</f>
        <v>-7.3324108305047431E-2</v>
      </c>
      <c r="M84" s="335">
        <f>M83/L83-1</f>
        <v>-1.050323723013602E-2</v>
      </c>
      <c r="N84" s="353"/>
      <c r="O84" s="353"/>
      <c r="P84" s="353"/>
      <c r="Q84" s="353"/>
      <c r="R84" s="335"/>
    </row>
    <row r="85" spans="1:19" s="328" customFormat="1" x14ac:dyDescent="0.25">
      <c r="A85" s="4"/>
      <c r="B85" s="342" t="s">
        <v>215</v>
      </c>
      <c r="C85" s="4"/>
      <c r="D85" s="353">
        <f>D83/C83-1</f>
        <v>2.8310912392370824E-3</v>
      </c>
      <c r="I85" s="335">
        <f>I83/D83-1</f>
        <v>-9.8380125384525563E-2</v>
      </c>
      <c r="J85" s="356">
        <f>J83/E83-1</f>
        <v>9.7363432707220365E-3</v>
      </c>
      <c r="K85" s="357">
        <f t="shared" ref="K85:M85" si="121">K83/F83-1</f>
        <v>5.4285498394962772E-2</v>
      </c>
      <c r="L85" s="357">
        <f t="shared" si="121"/>
        <v>7.8296212663509834E-2</v>
      </c>
      <c r="M85" s="363">
        <f t="shared" si="121"/>
        <v>8.1566915669156748E-2</v>
      </c>
      <c r="N85" s="357">
        <f>N83/I83-1</f>
        <v>5.7828138672329166E-2</v>
      </c>
      <c r="O85" s="357">
        <f>O83/N83-1</f>
        <v>6.1562446152689576E-2</v>
      </c>
      <c r="P85" s="357">
        <f t="shared" ref="P85:R85" si="122">P83/O83-1</f>
        <v>6.6029778119554017E-2</v>
      </c>
      <c r="Q85" s="357">
        <f t="shared" si="122"/>
        <v>7.0793049052157109E-2</v>
      </c>
      <c r="R85" s="363">
        <f t="shared" si="122"/>
        <v>7.6068525271026255E-2</v>
      </c>
    </row>
    <row r="86" spans="1:19" s="328" customFormat="1" x14ac:dyDescent="0.25">
      <c r="A86" s="63"/>
      <c r="B86" s="63"/>
      <c r="C86" s="63"/>
      <c r="D86" s="63"/>
      <c r="E86" s="63"/>
      <c r="F86" s="63"/>
      <c r="G86" s="63"/>
      <c r="H86" s="63"/>
      <c r="I86" s="63"/>
      <c r="J86" s="346"/>
      <c r="K86" s="63"/>
      <c r="L86" s="63"/>
      <c r="M86" s="63"/>
      <c r="N86" s="63"/>
      <c r="O86" s="63"/>
      <c r="P86" s="63"/>
      <c r="Q86" s="63"/>
      <c r="R86" s="6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3EAE-403E-4C0C-9BD0-952BD6AF5DF0}">
  <sheetPr codeName="Sheet6"/>
  <dimension ref="A1:W56"/>
  <sheetViews>
    <sheetView showGridLines="0" zoomScaleNormal="100" workbookViewId="0">
      <selection activeCell="D5" sqref="D5"/>
    </sheetView>
  </sheetViews>
  <sheetFormatPr defaultColWidth="9" defaultRowHeight="15" x14ac:dyDescent="0.25"/>
  <cols>
    <col min="1" max="1" width="2.28515625" style="4" customWidth="1"/>
    <col min="2" max="2" width="36.42578125" style="4" bestFit="1" customWidth="1"/>
    <col min="3" max="10" width="11.7109375" style="4" customWidth="1"/>
    <col min="11" max="13" width="11.7109375" style="292" customWidth="1"/>
    <col min="14" max="14" width="11.42578125" style="4" customWidth="1"/>
    <col min="15" max="15" width="21.42578125" style="4" bestFit="1" customWidth="1"/>
    <col min="16" max="23" width="11.42578125" style="4" customWidth="1"/>
    <col min="24" max="16384" width="9" style="4"/>
  </cols>
  <sheetData>
    <row r="1" spans="1:23" ht="19.5" x14ac:dyDescent="0.3">
      <c r="A1" s="272" t="str">
        <f>CoName</f>
        <v>Nike Inc.</v>
      </c>
      <c r="B1" s="3"/>
      <c r="C1" s="43" t="s">
        <v>0</v>
      </c>
      <c r="D1" s="43" t="s">
        <v>0</v>
      </c>
      <c r="E1" s="43" t="s">
        <v>0</v>
      </c>
      <c r="F1" s="43" t="s">
        <v>1</v>
      </c>
      <c r="G1" s="43" t="s">
        <v>1</v>
      </c>
      <c r="H1" s="43" t="s">
        <v>1</v>
      </c>
      <c r="I1" s="43" t="s">
        <v>1</v>
      </c>
      <c r="J1" s="43" t="s">
        <v>1</v>
      </c>
      <c r="K1" s="43"/>
      <c r="L1" s="43"/>
      <c r="M1" s="43"/>
      <c r="N1" s="43"/>
      <c r="O1" s="43"/>
    </row>
    <row r="2" spans="1:23" x14ac:dyDescent="0.25">
      <c r="A2" s="61" t="s">
        <v>125</v>
      </c>
      <c r="B2" s="103" t="s">
        <v>126</v>
      </c>
      <c r="C2" s="282">
        <v>2023</v>
      </c>
      <c r="D2" s="282">
        <f>C2+1</f>
        <v>2024</v>
      </c>
      <c r="E2" s="282">
        <f t="shared" ref="E2:M2" si="0">D2+1</f>
        <v>2025</v>
      </c>
      <c r="F2" s="282">
        <f t="shared" si="0"/>
        <v>2026</v>
      </c>
      <c r="G2" s="282">
        <f t="shared" si="0"/>
        <v>2027</v>
      </c>
      <c r="H2" s="282">
        <f t="shared" si="0"/>
        <v>2028</v>
      </c>
      <c r="I2" s="282">
        <f t="shared" si="0"/>
        <v>2029</v>
      </c>
      <c r="J2" s="282">
        <f t="shared" si="0"/>
        <v>2030</v>
      </c>
      <c r="K2" s="289"/>
      <c r="L2" s="289"/>
      <c r="M2" s="289"/>
      <c r="N2" s="196"/>
      <c r="O2" s="196"/>
    </row>
    <row r="3" spans="1:23" x14ac:dyDescent="0.25">
      <c r="A3" s="82"/>
      <c r="B3" s="155"/>
      <c r="C3" s="196"/>
      <c r="D3" s="196"/>
      <c r="E3" s="196"/>
      <c r="F3" s="196"/>
      <c r="G3" s="196"/>
      <c r="H3" s="196"/>
      <c r="I3" s="196"/>
      <c r="J3" s="196"/>
      <c r="K3" s="290"/>
      <c r="L3" s="290"/>
      <c r="M3" s="290"/>
      <c r="N3" s="196"/>
      <c r="O3" s="196"/>
    </row>
    <row r="4" spans="1:23" x14ac:dyDescent="0.25">
      <c r="B4" s="90" t="s">
        <v>133</v>
      </c>
      <c r="C4"/>
      <c r="D4" s="277">
        <v>1</v>
      </c>
      <c r="E4"/>
      <c r="F4"/>
      <c r="G4" s="85"/>
      <c r="H4" s="85"/>
      <c r="I4" s="85"/>
      <c r="J4" s="85"/>
      <c r="K4" s="291"/>
      <c r="L4" s="291"/>
      <c r="M4" s="291"/>
      <c r="N4" s="85"/>
      <c r="P4" s="242"/>
      <c r="Q4" s="243"/>
      <c r="R4" s="243"/>
    </row>
    <row r="5" spans="1:23" x14ac:dyDescent="0.25">
      <c r="B5" s="84"/>
      <c r="C5" s="86"/>
      <c r="D5" s="107" t="s">
        <v>127</v>
      </c>
      <c r="E5" s="87"/>
      <c r="N5" s="85"/>
      <c r="P5" s="244"/>
      <c r="Q5" s="245"/>
      <c r="R5" s="245"/>
    </row>
    <row r="6" spans="1:23" x14ac:dyDescent="0.25">
      <c r="B6" s="88" t="s">
        <v>134</v>
      </c>
      <c r="D6" s="97">
        <v>0</v>
      </c>
      <c r="E6" s="89"/>
      <c r="F6" s="97">
        <f>Revenue!N85</f>
        <v>5.7828138672329166E-2</v>
      </c>
      <c r="G6" s="97">
        <f>Revenue!O85</f>
        <v>6.1562446152689576E-2</v>
      </c>
      <c r="H6" s="97">
        <f>Revenue!P85</f>
        <v>6.6029778119554017E-2</v>
      </c>
      <c r="I6" s="97">
        <f>Revenue!Q85</f>
        <v>7.0793049052157109E-2</v>
      </c>
      <c r="J6" s="97">
        <f>Revenue!R85</f>
        <v>7.6068525271026255E-2</v>
      </c>
      <c r="K6" s="167"/>
      <c r="L6" s="167"/>
      <c r="M6" s="167"/>
      <c r="N6" s="167"/>
      <c r="P6" s="167"/>
      <c r="Q6" s="246"/>
      <c r="R6" s="246"/>
      <c r="S6" s="246"/>
      <c r="T6" s="246"/>
      <c r="U6" s="246"/>
      <c r="V6" s="246"/>
      <c r="W6" s="246"/>
    </row>
    <row r="7" spans="1:23" x14ac:dyDescent="0.25">
      <c r="B7" s="4" t="s">
        <v>129</v>
      </c>
      <c r="D7" s="97">
        <v>0.03</v>
      </c>
      <c r="E7" s="89"/>
      <c r="F7" s="97">
        <f>F6+$D$7</f>
        <v>8.7828138672329165E-2</v>
      </c>
      <c r="G7" s="97">
        <f t="shared" ref="G7:J7" si="1">G6+$D$7</f>
        <v>9.1562446152689575E-2</v>
      </c>
      <c r="H7" s="97">
        <f t="shared" si="1"/>
        <v>9.6029778119554016E-2</v>
      </c>
      <c r="I7" s="97">
        <f t="shared" si="1"/>
        <v>0.10079304905215711</v>
      </c>
      <c r="J7" s="97">
        <f t="shared" si="1"/>
        <v>0.10606852527102625</v>
      </c>
      <c r="K7" s="167"/>
      <c r="L7" s="167"/>
      <c r="M7" s="167"/>
      <c r="N7" s="167"/>
      <c r="P7" s="167"/>
      <c r="Q7" s="167"/>
      <c r="R7" s="167"/>
      <c r="S7" s="167"/>
      <c r="T7" s="167"/>
      <c r="U7" s="167"/>
      <c r="V7" s="167"/>
      <c r="W7" s="167"/>
    </row>
    <row r="8" spans="1:23" x14ac:dyDescent="0.25">
      <c r="B8" s="4" t="s">
        <v>128</v>
      </c>
      <c r="D8" s="97">
        <v>-0.03</v>
      </c>
      <c r="E8" s="89"/>
      <c r="F8" s="97">
        <f>F6+$D$8</f>
        <v>2.7828138672329167E-2</v>
      </c>
      <c r="G8" s="97">
        <f t="shared" ref="G8:J8" si="2">G6+$D$8</f>
        <v>3.1562446152689577E-2</v>
      </c>
      <c r="H8" s="97">
        <f t="shared" si="2"/>
        <v>3.6029778119554018E-2</v>
      </c>
      <c r="I8" s="97">
        <f t="shared" si="2"/>
        <v>4.079304905215711E-2</v>
      </c>
      <c r="J8" s="97">
        <f t="shared" si="2"/>
        <v>4.6068525271026256E-2</v>
      </c>
      <c r="K8" s="167"/>
      <c r="L8" s="167"/>
      <c r="M8" s="167"/>
      <c r="N8" s="167"/>
    </row>
    <row r="9" spans="1:23" x14ac:dyDescent="0.25">
      <c r="N9" s="32"/>
      <c r="O9" s="32"/>
      <c r="P9" s="167"/>
      <c r="Q9" s="167"/>
    </row>
    <row r="10" spans="1:23" x14ac:dyDescent="0.25">
      <c r="B10" s="112" t="s">
        <v>150</v>
      </c>
      <c r="C10" s="187">
        <f>51217/46710-1</f>
        <v>9.6488974523656568E-2</v>
      </c>
      <c r="D10" s="365">
        <f>Revenue!H85</f>
        <v>0</v>
      </c>
      <c r="E10" s="188">
        <f>Revenue!I85</f>
        <v>-9.8380125384525563E-2</v>
      </c>
      <c r="F10" s="101">
        <f>CHOOSE(ScenarioREV,F6,F7,F8)</f>
        <v>5.7828138672329166E-2</v>
      </c>
      <c r="G10" s="101">
        <f>CHOOSE(ScenarioREV,G6,G7,G8)</f>
        <v>6.1562446152689576E-2</v>
      </c>
      <c r="H10" s="101">
        <f>CHOOSE(ScenarioREV,H6,H7,H8)</f>
        <v>6.6029778119554017E-2</v>
      </c>
      <c r="I10" s="101">
        <f>CHOOSE(ScenarioREV,I6,I7,I8)</f>
        <v>7.0793049052157109E-2</v>
      </c>
      <c r="J10" s="101">
        <f>CHOOSE(ScenarioREV,J6,J7,J8)</f>
        <v>7.6068525271026255E-2</v>
      </c>
      <c r="K10" s="293"/>
      <c r="L10" s="293"/>
      <c r="M10" s="293"/>
      <c r="N10" s="31"/>
      <c r="O10" s="31"/>
      <c r="P10" s="167"/>
      <c r="Q10" s="167"/>
    </row>
    <row r="11" spans="1:23" x14ac:dyDescent="0.25">
      <c r="B11" s="4" t="s">
        <v>135</v>
      </c>
      <c r="C11" s="8">
        <f>IncState!C5</f>
        <v>0.56475389030985801</v>
      </c>
      <c r="D11" s="8">
        <f>IncState!D5</f>
        <v>0.55439819321677508</v>
      </c>
      <c r="E11" s="8">
        <f>IncState!E5</f>
        <v>0.57265326394437366</v>
      </c>
      <c r="F11" s="97">
        <f>E11+0.012</f>
        <v>0.58465326394437367</v>
      </c>
      <c r="G11" s="97">
        <f t="shared" ref="G11:M11" si="3">F11</f>
        <v>0.58465326394437367</v>
      </c>
      <c r="H11" s="97">
        <f t="shared" si="3"/>
        <v>0.58465326394437367</v>
      </c>
      <c r="I11" s="97">
        <f t="shared" si="3"/>
        <v>0.58465326394437367</v>
      </c>
      <c r="J11" s="318">
        <f t="shared" si="3"/>
        <v>0.58465326394437367</v>
      </c>
      <c r="K11" s="167"/>
      <c r="L11" s="167"/>
      <c r="M11" s="167"/>
      <c r="N11" s="167"/>
      <c r="O11" s="167"/>
      <c r="P11" s="167"/>
      <c r="Q11" s="167"/>
    </row>
    <row r="12" spans="1:23" x14ac:dyDescent="0.25">
      <c r="B12" s="4" t="s">
        <v>45</v>
      </c>
      <c r="C12" s="8">
        <f>IncState!C6</f>
        <v>0.31975711189644063</v>
      </c>
      <c r="D12" s="8">
        <f>IncState!D6</f>
        <v>0.32272886569837622</v>
      </c>
      <c r="E12" s="8">
        <f>IncState!E6</f>
        <v>0.34740547193850008</v>
      </c>
      <c r="F12" s="97">
        <f>E12+0.01</f>
        <v>0.35740547193850009</v>
      </c>
      <c r="G12" s="97">
        <f>F12-0.01</f>
        <v>0.34740547193850008</v>
      </c>
      <c r="H12" s="97">
        <f t="shared" ref="H12:J12" si="4">G12-0.01</f>
        <v>0.33740547193850007</v>
      </c>
      <c r="I12" s="97">
        <f t="shared" si="4"/>
        <v>0.32740547193850006</v>
      </c>
      <c r="J12" s="97">
        <f t="shared" si="4"/>
        <v>0.31740547193850005</v>
      </c>
      <c r="K12" s="167"/>
      <c r="L12" s="167"/>
      <c r="M12" s="167"/>
      <c r="N12" s="167"/>
      <c r="O12" s="167"/>
    </row>
    <row r="13" spans="1:23" x14ac:dyDescent="0.25">
      <c r="B13" s="4" t="s">
        <v>137</v>
      </c>
      <c r="C13" s="125">
        <f>IncState!C7</f>
        <v>0</v>
      </c>
      <c r="D13" s="125">
        <f>IncState!D7</f>
        <v>0</v>
      </c>
      <c r="E13" s="125">
        <f>IncState!E7</f>
        <v>0</v>
      </c>
      <c r="F13" s="98">
        <f>E13</f>
        <v>0</v>
      </c>
      <c r="G13" s="98">
        <f t="shared" ref="G13:M13" si="5">F13</f>
        <v>0</v>
      </c>
      <c r="H13" s="98">
        <f t="shared" si="5"/>
        <v>0</v>
      </c>
      <c r="I13" s="98">
        <f t="shared" si="5"/>
        <v>0</v>
      </c>
      <c r="J13" s="322">
        <f t="shared" si="5"/>
        <v>0</v>
      </c>
      <c r="K13" s="197"/>
      <c r="L13" s="197"/>
      <c r="M13" s="197"/>
      <c r="N13" s="197"/>
      <c r="O13" s="197"/>
    </row>
    <row r="14" spans="1:23" x14ac:dyDescent="0.25">
      <c r="B14" s="4" t="s">
        <v>138</v>
      </c>
      <c r="C14" s="125">
        <f>IncState!C8</f>
        <v>0</v>
      </c>
      <c r="D14" s="125">
        <f>IncState!D8</f>
        <v>0</v>
      </c>
      <c r="E14" s="125">
        <f>IncState!E8</f>
        <v>0</v>
      </c>
      <c r="F14" s="98">
        <v>20</v>
      </c>
      <c r="G14" s="98">
        <v>0</v>
      </c>
      <c r="H14" s="98">
        <v>0</v>
      </c>
      <c r="I14" s="98">
        <v>0</v>
      </c>
      <c r="J14" s="322">
        <v>0</v>
      </c>
      <c r="K14" s="197"/>
      <c r="L14" s="197"/>
      <c r="M14" s="197"/>
      <c r="N14" s="197"/>
      <c r="O14" s="197"/>
    </row>
    <row r="15" spans="1:23" x14ac:dyDescent="0.25">
      <c r="B15" s="4" t="s">
        <v>140</v>
      </c>
      <c r="C15" s="125">
        <f>IncState!C9</f>
        <v>280</v>
      </c>
      <c r="D15" s="125">
        <f>IncState!D9</f>
        <v>228</v>
      </c>
      <c r="E15" s="125">
        <f>IncState!E9</f>
        <v>76</v>
      </c>
      <c r="F15" s="98">
        <v>0</v>
      </c>
      <c r="G15" s="98">
        <v>0</v>
      </c>
      <c r="H15" s="98">
        <v>0</v>
      </c>
      <c r="I15" s="98">
        <v>0</v>
      </c>
      <c r="J15" s="322">
        <v>0</v>
      </c>
      <c r="K15" s="197"/>
      <c r="L15" s="197"/>
      <c r="M15" s="197"/>
      <c r="N15" s="197"/>
      <c r="O15" s="197"/>
    </row>
    <row r="16" spans="1:23" x14ac:dyDescent="0.25">
      <c r="B16" s="4" t="s">
        <v>48</v>
      </c>
      <c r="C16" s="8">
        <f>IncState!C10</f>
        <v>0.18238993710691823</v>
      </c>
      <c r="D16" s="8">
        <f>IncState!D10</f>
        <v>0.14925373134328357</v>
      </c>
      <c r="E16" s="8">
        <f>IncState!E10</f>
        <v>0.17142857142857143</v>
      </c>
      <c r="F16" s="97">
        <v>0.2</v>
      </c>
      <c r="G16" s="97">
        <f t="shared" ref="G16:M16" si="6">F16</f>
        <v>0.2</v>
      </c>
      <c r="H16" s="97">
        <f t="shared" si="6"/>
        <v>0.2</v>
      </c>
      <c r="I16" s="97">
        <f t="shared" si="6"/>
        <v>0.2</v>
      </c>
      <c r="J16" s="318">
        <f t="shared" si="6"/>
        <v>0.2</v>
      </c>
      <c r="K16" s="167"/>
      <c r="L16" s="167"/>
      <c r="M16" s="167"/>
      <c r="N16" s="167"/>
      <c r="O16" s="167"/>
    </row>
    <row r="17" spans="1:15" x14ac:dyDescent="0.25">
      <c r="B17" s="4" t="s">
        <v>141</v>
      </c>
      <c r="C17" s="8">
        <f>IncState!C11</f>
        <v>0.39684418145956607</v>
      </c>
      <c r="D17" s="8">
        <f>IncState!D11</f>
        <v>0.38052631578947366</v>
      </c>
      <c r="E17" s="8">
        <f>IncState!E11</f>
        <v>0.71450761105933525</v>
      </c>
      <c r="F17" s="97">
        <f>E17</f>
        <v>0.71450761105933525</v>
      </c>
      <c r="G17" s="97">
        <f t="shared" ref="G17:M17" si="7">F17</f>
        <v>0.71450761105933525</v>
      </c>
      <c r="H17" s="97">
        <f t="shared" si="7"/>
        <v>0.71450761105933525</v>
      </c>
      <c r="I17" s="97">
        <f t="shared" si="7"/>
        <v>0.71450761105933525</v>
      </c>
      <c r="J17" s="318">
        <f t="shared" si="7"/>
        <v>0.71450761105933525</v>
      </c>
      <c r="K17" s="167"/>
      <c r="L17" s="167"/>
      <c r="M17" s="167"/>
      <c r="N17" s="167"/>
      <c r="O17" s="167"/>
    </row>
    <row r="18" spans="1:15" x14ac:dyDescent="0.25">
      <c r="B18" s="4" t="s">
        <v>49</v>
      </c>
      <c r="C18" s="125">
        <f>IncState!C12</f>
        <v>1551.6</v>
      </c>
      <c r="D18" s="125">
        <f>IncState!D12</f>
        <v>1517.6</v>
      </c>
      <c r="E18" s="125">
        <f>IncState!E12</f>
        <v>1484.9</v>
      </c>
      <c r="F18" s="98">
        <f>E18-35</f>
        <v>1449.9</v>
      </c>
      <c r="G18" s="98">
        <f>F18-35</f>
        <v>1414.9</v>
      </c>
      <c r="H18" s="98">
        <f t="shared" ref="G18:M18" si="8">G18</f>
        <v>1414.9</v>
      </c>
      <c r="I18" s="98">
        <f t="shared" si="8"/>
        <v>1414.9</v>
      </c>
      <c r="J18" s="322">
        <f t="shared" si="8"/>
        <v>1414.9</v>
      </c>
      <c r="K18" s="197"/>
      <c r="L18" s="197"/>
      <c r="M18" s="197"/>
      <c r="N18" s="197"/>
      <c r="O18" s="197"/>
    </row>
    <row r="19" spans="1:15" x14ac:dyDescent="0.25">
      <c r="B19" s="4" t="s">
        <v>50</v>
      </c>
      <c r="C19" s="125">
        <f>IncState!C13</f>
        <v>1569.8</v>
      </c>
      <c r="D19" s="125">
        <f>IncState!D13</f>
        <v>1529.7</v>
      </c>
      <c r="E19" s="125">
        <f>IncState!E13</f>
        <v>1487.6</v>
      </c>
      <c r="F19" s="98">
        <f>E19</f>
        <v>1487.6</v>
      </c>
      <c r="G19" s="98">
        <f t="shared" ref="G19:M19" si="9">F19</f>
        <v>1487.6</v>
      </c>
      <c r="H19" s="98">
        <f t="shared" si="9"/>
        <v>1487.6</v>
      </c>
      <c r="I19" s="98">
        <f t="shared" si="9"/>
        <v>1487.6</v>
      </c>
      <c r="J19" s="322">
        <f t="shared" si="9"/>
        <v>1487.6</v>
      </c>
      <c r="K19" s="197"/>
      <c r="L19" s="197"/>
      <c r="M19" s="197"/>
      <c r="N19" s="197"/>
      <c r="O19" s="197"/>
    </row>
    <row r="20" spans="1:15" x14ac:dyDescent="0.25">
      <c r="F20" s="100"/>
      <c r="G20" s="100"/>
      <c r="H20" s="100"/>
      <c r="I20" s="100"/>
      <c r="J20" s="100"/>
      <c r="K20" s="167"/>
      <c r="L20" s="167"/>
      <c r="M20" s="167"/>
      <c r="N20" s="167"/>
      <c r="O20" s="167"/>
    </row>
    <row r="21" spans="1:15" x14ac:dyDescent="0.25">
      <c r="A21" s="61" t="s">
        <v>125</v>
      </c>
      <c r="B21" s="103" t="s">
        <v>145</v>
      </c>
      <c r="C21" s="282">
        <f>C2</f>
        <v>2023</v>
      </c>
      <c r="D21" s="282">
        <f>D2</f>
        <v>2024</v>
      </c>
      <c r="E21" s="282">
        <f>E2</f>
        <v>2025</v>
      </c>
      <c r="F21" s="283">
        <f>F2</f>
        <v>2026</v>
      </c>
      <c r="G21" s="283">
        <f>G2</f>
        <v>2027</v>
      </c>
      <c r="H21" s="283">
        <f>H2</f>
        <v>2028</v>
      </c>
      <c r="I21" s="283">
        <f>I2</f>
        <v>2029</v>
      </c>
      <c r="J21" s="283">
        <f>J2</f>
        <v>2030</v>
      </c>
      <c r="K21" s="288"/>
      <c r="L21" s="288"/>
      <c r="M21" s="288"/>
      <c r="N21" s="198"/>
      <c r="O21" s="198"/>
    </row>
    <row r="22" spans="1:15" x14ac:dyDescent="0.25">
      <c r="A22" s="82"/>
      <c r="B22" s="155"/>
      <c r="C22" s="196"/>
      <c r="D22" s="196"/>
      <c r="E22" s="196"/>
      <c r="F22" s="198"/>
      <c r="G22" s="198"/>
      <c r="H22" s="198"/>
      <c r="I22" s="198"/>
      <c r="J22" s="198"/>
      <c r="K22" s="198"/>
      <c r="L22" s="198"/>
      <c r="M22" s="198"/>
      <c r="N22" s="198"/>
      <c r="O22" s="198"/>
    </row>
    <row r="23" spans="1:15" x14ac:dyDescent="0.25">
      <c r="B23" s="4" t="s">
        <v>139</v>
      </c>
      <c r="E23" s="8">
        <v>3.1E-2</v>
      </c>
      <c r="F23" s="97">
        <f>E23</f>
        <v>3.1E-2</v>
      </c>
      <c r="G23" s="97">
        <f t="shared" ref="G23:M23" si="10">F23</f>
        <v>3.1E-2</v>
      </c>
      <c r="H23" s="97">
        <f t="shared" si="10"/>
        <v>3.1E-2</v>
      </c>
      <c r="I23" s="97">
        <f t="shared" si="10"/>
        <v>3.1E-2</v>
      </c>
      <c r="J23" s="318">
        <f t="shared" si="10"/>
        <v>3.1E-2</v>
      </c>
      <c r="K23" s="167"/>
      <c r="L23" s="167"/>
      <c r="M23" s="167"/>
      <c r="N23" s="167"/>
      <c r="O23" s="167"/>
    </row>
    <row r="24" spans="1:15" x14ac:dyDescent="0.25">
      <c r="B24" s="4" t="s">
        <v>26</v>
      </c>
      <c r="E24" s="8">
        <v>3.1E-2</v>
      </c>
      <c r="F24" s="97">
        <f>E24</f>
        <v>3.1E-2</v>
      </c>
      <c r="G24" s="97">
        <f t="shared" ref="G24:M24" si="11">F24</f>
        <v>3.1E-2</v>
      </c>
      <c r="H24" s="97">
        <f t="shared" si="11"/>
        <v>3.1E-2</v>
      </c>
      <c r="I24" s="97">
        <f t="shared" si="11"/>
        <v>3.1E-2</v>
      </c>
      <c r="J24" s="318">
        <f t="shared" si="11"/>
        <v>3.1E-2</v>
      </c>
      <c r="K24" s="167"/>
      <c r="L24" s="167"/>
      <c r="M24" s="167"/>
      <c r="N24" s="167"/>
      <c r="O24" s="167"/>
    </row>
    <row r="25" spans="1:15" x14ac:dyDescent="0.25">
      <c r="B25" s="4" t="s">
        <v>27</v>
      </c>
      <c r="C25" s="8"/>
      <c r="D25" s="8"/>
      <c r="E25" s="8">
        <f>IncState!E29/BalSheet!E14</f>
        <v>1.1692711179106108E-2</v>
      </c>
      <c r="F25" s="121">
        <f>E25</f>
        <v>1.1692711179106108E-2</v>
      </c>
      <c r="G25" s="121">
        <f t="shared" ref="G25:M25" si="12">F25</f>
        <v>1.1692711179106108E-2</v>
      </c>
      <c r="H25" s="121">
        <f t="shared" si="12"/>
        <v>1.1692711179106108E-2</v>
      </c>
      <c r="I25" s="121">
        <f t="shared" si="12"/>
        <v>1.1692711179106108E-2</v>
      </c>
      <c r="J25" s="318">
        <f t="shared" si="12"/>
        <v>1.1692711179106108E-2</v>
      </c>
      <c r="K25" s="167"/>
      <c r="L25" s="167"/>
      <c r="M25" s="167"/>
      <c r="N25" s="167"/>
      <c r="O25" s="167"/>
    </row>
    <row r="26" spans="1:15" x14ac:dyDescent="0.25">
      <c r="F26" s="100"/>
      <c r="G26" s="100"/>
      <c r="H26" s="100"/>
      <c r="I26" s="100"/>
      <c r="J26" s="100"/>
      <c r="K26" s="167"/>
      <c r="L26" s="167"/>
      <c r="M26" s="167"/>
      <c r="N26" s="167"/>
      <c r="O26" s="167"/>
    </row>
    <row r="27" spans="1:15" x14ac:dyDescent="0.25">
      <c r="B27" s="4" t="s">
        <v>28</v>
      </c>
      <c r="E27" s="4">
        <v>0</v>
      </c>
      <c r="F27" s="98">
        <v>0</v>
      </c>
      <c r="G27" s="98">
        <v>0</v>
      </c>
      <c r="H27" s="98">
        <v>0</v>
      </c>
      <c r="I27" s="98">
        <v>0</v>
      </c>
      <c r="J27" s="322">
        <v>0</v>
      </c>
      <c r="K27" s="197"/>
      <c r="L27" s="197"/>
      <c r="M27" s="197"/>
      <c r="N27" s="197"/>
      <c r="O27" s="197"/>
    </row>
    <row r="28" spans="1:15" x14ac:dyDescent="0.25">
      <c r="B28" s="4" t="s">
        <v>29</v>
      </c>
      <c r="E28" s="4">
        <v>1000</v>
      </c>
      <c r="F28" s="98">
        <v>0</v>
      </c>
      <c r="G28" s="98">
        <v>0</v>
      </c>
      <c r="H28" s="98">
        <v>0</v>
      </c>
      <c r="I28" s="98">
        <v>0</v>
      </c>
      <c r="J28" s="322">
        <v>0</v>
      </c>
      <c r="K28" s="197"/>
      <c r="L28" s="197"/>
      <c r="M28" s="197"/>
      <c r="N28" s="197"/>
      <c r="O28" s="197"/>
    </row>
    <row r="29" spans="1:15" x14ac:dyDescent="0.25">
      <c r="F29" s="100"/>
      <c r="G29" s="100"/>
      <c r="H29" s="100"/>
      <c r="I29" s="100"/>
      <c r="J29" s="100"/>
      <c r="K29" s="167"/>
      <c r="L29" s="167"/>
      <c r="M29" s="167"/>
      <c r="N29" s="167"/>
      <c r="O29" s="167"/>
    </row>
    <row r="30" spans="1:15" x14ac:dyDescent="0.25">
      <c r="A30" s="61" t="s">
        <v>125</v>
      </c>
      <c r="B30" s="103" t="s">
        <v>142</v>
      </c>
      <c r="C30" s="282">
        <f>C21</f>
        <v>2023</v>
      </c>
      <c r="D30" s="282">
        <f t="shared" ref="D30:M30" si="13">D21</f>
        <v>2024</v>
      </c>
      <c r="E30" s="282">
        <f t="shared" si="13"/>
        <v>2025</v>
      </c>
      <c r="F30" s="282">
        <f t="shared" si="13"/>
        <v>2026</v>
      </c>
      <c r="G30" s="282">
        <f t="shared" si="13"/>
        <v>2027</v>
      </c>
      <c r="H30" s="282">
        <f t="shared" si="13"/>
        <v>2028</v>
      </c>
      <c r="I30" s="282">
        <f t="shared" si="13"/>
        <v>2029</v>
      </c>
      <c r="J30" s="282">
        <f t="shared" si="13"/>
        <v>2030</v>
      </c>
      <c r="K30" s="289"/>
      <c r="L30" s="289"/>
      <c r="M30" s="289"/>
      <c r="N30" s="199"/>
      <c r="O30" s="199"/>
    </row>
    <row r="31" spans="1:15" x14ac:dyDescent="0.25">
      <c r="A31" s="82"/>
      <c r="B31" s="155"/>
      <c r="C31" s="196"/>
      <c r="D31" s="196"/>
      <c r="E31" s="196"/>
      <c r="F31" s="198"/>
      <c r="G31" s="198"/>
      <c r="H31" s="198"/>
      <c r="I31" s="198"/>
      <c r="J31" s="198"/>
      <c r="K31" s="199"/>
      <c r="L31" s="199"/>
      <c r="M31" s="199"/>
      <c r="N31" s="199"/>
      <c r="O31" s="199"/>
    </row>
    <row r="32" spans="1:15" x14ac:dyDescent="0.25">
      <c r="B32" s="4" t="s">
        <v>143</v>
      </c>
      <c r="D32" s="8">
        <f>Calcs!D7/IncState!D16</f>
        <v>1.3920797476733773E-2</v>
      </c>
      <c r="E32" s="8">
        <f>Calcs!E7/IncState!E16</f>
        <v>1.3021226975317973E-2</v>
      </c>
      <c r="F32" s="97">
        <f>E32</f>
        <v>1.3021226975317973E-2</v>
      </c>
      <c r="G32" s="97">
        <f t="shared" ref="G32:M32" si="14">F32</f>
        <v>1.3021226975317973E-2</v>
      </c>
      <c r="H32" s="97">
        <f t="shared" si="14"/>
        <v>1.3021226975317973E-2</v>
      </c>
      <c r="I32" s="97">
        <f t="shared" si="14"/>
        <v>1.3021226975317973E-2</v>
      </c>
      <c r="J32" s="318">
        <f t="shared" si="14"/>
        <v>1.3021226975317973E-2</v>
      </c>
      <c r="K32" s="167"/>
      <c r="L32" s="167"/>
      <c r="M32" s="167"/>
      <c r="N32" s="167"/>
      <c r="O32" s="167"/>
    </row>
    <row r="33" spans="1:15" x14ac:dyDescent="0.25">
      <c r="B33" s="4" t="s">
        <v>156</v>
      </c>
      <c r="D33" s="8">
        <f>Calcs!D8/Calcs!D6</f>
        <v>0.15666207439480417</v>
      </c>
      <c r="E33" s="8">
        <f>Calcs!E8/Calcs!E6</f>
        <v>0.155</v>
      </c>
      <c r="F33" s="97">
        <f>E33</f>
        <v>0.155</v>
      </c>
      <c r="G33" s="97">
        <f t="shared" ref="G33:M33" si="15">F33</f>
        <v>0.155</v>
      </c>
      <c r="H33" s="97">
        <f t="shared" si="15"/>
        <v>0.155</v>
      </c>
      <c r="I33" s="97">
        <f t="shared" si="15"/>
        <v>0.155</v>
      </c>
      <c r="J33" s="318">
        <f t="shared" si="15"/>
        <v>0.155</v>
      </c>
      <c r="K33" s="167"/>
      <c r="L33" s="167"/>
      <c r="M33" s="167"/>
      <c r="N33" s="167"/>
      <c r="O33" s="167"/>
    </row>
    <row r="34" spans="1:15" x14ac:dyDescent="0.25">
      <c r="B34" s="4" t="s">
        <v>144</v>
      </c>
      <c r="C34" s="4">
        <v>-5480</v>
      </c>
      <c r="D34" s="4">
        <v>-4250</v>
      </c>
      <c r="E34" s="4">
        <v>-2985</v>
      </c>
      <c r="F34" s="102">
        <v>-3000</v>
      </c>
      <c r="G34" s="102">
        <v>-3000</v>
      </c>
      <c r="H34" s="102">
        <v>0</v>
      </c>
      <c r="I34" s="102">
        <v>0</v>
      </c>
      <c r="J34" s="323">
        <v>0</v>
      </c>
      <c r="K34" s="200"/>
      <c r="L34" s="200"/>
      <c r="M34" s="200"/>
      <c r="N34" s="200"/>
      <c r="O34" s="200"/>
    </row>
    <row r="35" spans="1:15" x14ac:dyDescent="0.25">
      <c r="F35" s="32"/>
      <c r="G35" s="32"/>
      <c r="H35" s="32"/>
      <c r="I35" s="32"/>
      <c r="J35" s="32"/>
      <c r="K35" s="294"/>
      <c r="L35" s="294"/>
      <c r="M35" s="294"/>
      <c r="N35" s="32"/>
      <c r="O35" s="32"/>
    </row>
    <row r="36" spans="1:15" x14ac:dyDescent="0.25">
      <c r="A36" s="61" t="s">
        <v>125</v>
      </c>
      <c r="B36" s="103" t="s">
        <v>61</v>
      </c>
      <c r="C36" s="282">
        <f>C30</f>
        <v>2023</v>
      </c>
      <c r="D36" s="282">
        <f t="shared" ref="D36:M36" si="16">D30</f>
        <v>2024</v>
      </c>
      <c r="E36" s="282">
        <f t="shared" si="16"/>
        <v>2025</v>
      </c>
      <c r="F36" s="282">
        <f t="shared" si="16"/>
        <v>2026</v>
      </c>
      <c r="G36" s="282">
        <f t="shared" si="16"/>
        <v>2027</v>
      </c>
      <c r="H36" s="282">
        <f t="shared" si="16"/>
        <v>2028</v>
      </c>
      <c r="I36" s="282">
        <f t="shared" si="16"/>
        <v>2029</v>
      </c>
      <c r="J36" s="282">
        <f t="shared" si="16"/>
        <v>2030</v>
      </c>
      <c r="K36" s="289"/>
      <c r="L36" s="289"/>
      <c r="M36" s="289"/>
      <c r="N36" s="199"/>
      <c r="O36" s="199"/>
    </row>
    <row r="37" spans="1:15" x14ac:dyDescent="0.25">
      <c r="A37" s="82"/>
      <c r="B37" s="155"/>
      <c r="C37" s="196"/>
      <c r="D37" s="196"/>
      <c r="E37" s="196"/>
      <c r="F37" s="278"/>
      <c r="G37" s="278"/>
      <c r="H37" s="278"/>
      <c r="I37" s="278"/>
      <c r="J37" s="278"/>
      <c r="K37" s="199"/>
      <c r="L37" s="199"/>
      <c r="M37" s="199"/>
      <c r="N37" s="199"/>
      <c r="O37" s="199"/>
    </row>
    <row r="38" spans="1:15" x14ac:dyDescent="0.25">
      <c r="B38" s="4" t="s">
        <v>130</v>
      </c>
      <c r="C38" s="125">
        <f>IncState!C37/IncState!C39</f>
        <v>1.2967259602990462</v>
      </c>
      <c r="D38" s="125">
        <f>IncState!D37/IncState!D39</f>
        <v>1.4292303637322088</v>
      </c>
      <c r="E38" s="125">
        <f>IncState!E37/IncState!E39</f>
        <v>1.5489258535928345</v>
      </c>
      <c r="F38" s="326">
        <f>E38</f>
        <v>1.5489258535928345</v>
      </c>
      <c r="G38" s="326">
        <f t="shared" ref="G38:M38" si="17">F38</f>
        <v>1.5489258535928345</v>
      </c>
      <c r="H38" s="326">
        <f t="shared" si="17"/>
        <v>1.5489258535928345</v>
      </c>
      <c r="I38" s="326">
        <f t="shared" si="17"/>
        <v>1.5489258535928345</v>
      </c>
      <c r="J38" s="327">
        <f t="shared" si="17"/>
        <v>1.5489258535928345</v>
      </c>
      <c r="K38" s="167"/>
      <c r="L38" s="167"/>
      <c r="M38" s="167"/>
      <c r="N38" s="167"/>
      <c r="O38" s="167"/>
    </row>
    <row r="39" spans="1:15" x14ac:dyDescent="0.25">
      <c r="B39" s="4" t="s">
        <v>49</v>
      </c>
      <c r="C39" s="4">
        <f>C18</f>
        <v>1551.6</v>
      </c>
      <c r="D39" s="4">
        <f t="shared" ref="D39:E39" si="18">D18</f>
        <v>1517.6</v>
      </c>
      <c r="E39" s="4">
        <f t="shared" si="18"/>
        <v>1484.9</v>
      </c>
      <c r="F39" s="98">
        <f t="shared" ref="F39:M40" si="19">F18</f>
        <v>1449.9</v>
      </c>
      <c r="G39" s="98">
        <f t="shared" si="19"/>
        <v>1414.9</v>
      </c>
      <c r="H39" s="98">
        <f t="shared" si="19"/>
        <v>1414.9</v>
      </c>
      <c r="I39" s="98">
        <f t="shared" si="19"/>
        <v>1414.9</v>
      </c>
      <c r="J39" s="322">
        <f t="shared" si="19"/>
        <v>1414.9</v>
      </c>
      <c r="K39" s="197"/>
      <c r="L39" s="197"/>
      <c r="M39" s="197"/>
      <c r="N39" s="197"/>
      <c r="O39" s="197"/>
    </row>
    <row r="40" spans="1:15" x14ac:dyDescent="0.25">
      <c r="B40" s="4" t="s">
        <v>50</v>
      </c>
      <c r="C40" s="4">
        <f t="shared" ref="C40:E40" si="20">C19</f>
        <v>1569.8</v>
      </c>
      <c r="D40" s="4">
        <f t="shared" si="20"/>
        <v>1529.7</v>
      </c>
      <c r="E40" s="4">
        <f t="shared" si="20"/>
        <v>1487.6</v>
      </c>
      <c r="F40" s="98">
        <f t="shared" si="19"/>
        <v>1487.6</v>
      </c>
      <c r="G40" s="98">
        <f t="shared" si="19"/>
        <v>1487.6</v>
      </c>
      <c r="H40" s="98">
        <f t="shared" si="19"/>
        <v>1487.6</v>
      </c>
      <c r="I40" s="98">
        <f t="shared" si="19"/>
        <v>1487.6</v>
      </c>
      <c r="J40" s="322">
        <f t="shared" si="19"/>
        <v>1487.6</v>
      </c>
      <c r="K40" s="197"/>
      <c r="L40" s="197"/>
      <c r="M40" s="197"/>
      <c r="N40" s="197"/>
      <c r="O40" s="197"/>
    </row>
    <row r="41" spans="1:15" x14ac:dyDescent="0.25">
      <c r="F41" s="32"/>
      <c r="G41" s="32"/>
      <c r="H41" s="32"/>
      <c r="I41" s="32"/>
      <c r="J41" s="32"/>
      <c r="K41" s="294"/>
      <c r="L41" s="294"/>
      <c r="M41" s="294"/>
      <c r="N41" s="32"/>
      <c r="O41" s="32"/>
    </row>
    <row r="42" spans="1:15" x14ac:dyDescent="0.25">
      <c r="A42" s="61" t="s">
        <v>125</v>
      </c>
      <c r="B42" s="103" t="s">
        <v>131</v>
      </c>
      <c r="C42" s="282">
        <f>C36</f>
        <v>2023</v>
      </c>
      <c r="D42" s="282">
        <f t="shared" ref="D42:M42" si="21">D36</f>
        <v>2024</v>
      </c>
      <c r="E42" s="282">
        <f t="shared" si="21"/>
        <v>2025</v>
      </c>
      <c r="F42" s="282">
        <f t="shared" si="21"/>
        <v>2026</v>
      </c>
      <c r="G42" s="282">
        <f t="shared" si="21"/>
        <v>2027</v>
      </c>
      <c r="H42" s="282">
        <f t="shared" si="21"/>
        <v>2028</v>
      </c>
      <c r="I42" s="282">
        <f t="shared" si="21"/>
        <v>2029</v>
      </c>
      <c r="J42" s="282">
        <f t="shared" si="21"/>
        <v>2030</v>
      </c>
      <c r="K42" s="289"/>
      <c r="L42" s="289"/>
      <c r="M42" s="289"/>
      <c r="N42" s="199"/>
      <c r="O42" s="199"/>
    </row>
    <row r="43" spans="1:15" x14ac:dyDescent="0.25">
      <c r="A43" s="82"/>
      <c r="B43" s="155"/>
      <c r="C43" s="196"/>
      <c r="D43" s="196"/>
      <c r="E43" s="196"/>
      <c r="F43" s="278"/>
      <c r="G43" s="278"/>
      <c r="H43" s="278"/>
      <c r="I43" s="278"/>
      <c r="J43" s="278"/>
      <c r="K43" s="199"/>
      <c r="L43" s="199"/>
      <c r="M43" s="199"/>
      <c r="N43" s="199"/>
      <c r="O43" s="199"/>
    </row>
    <row r="44" spans="1:15" x14ac:dyDescent="0.25">
      <c r="B44" s="4" t="s">
        <v>154</v>
      </c>
      <c r="C44" s="8">
        <f>BalSheet!C4</f>
        <v>8.0656813167502978E-2</v>
      </c>
      <c r="D44" s="8">
        <f>BalSheet!D4</f>
        <v>8.6192126474825742E-2</v>
      </c>
      <c r="E44" s="8">
        <f>BalSheet!E4</f>
        <v>0.10185924982184888</v>
      </c>
      <c r="F44" s="97">
        <f>E44</f>
        <v>0.10185924982184888</v>
      </c>
      <c r="G44" s="97">
        <f t="shared" ref="G44:M44" si="22">F44</f>
        <v>0.10185924982184888</v>
      </c>
      <c r="H44" s="97">
        <f t="shared" si="22"/>
        <v>0.10185924982184888</v>
      </c>
      <c r="I44" s="97">
        <f t="shared" si="22"/>
        <v>0.10185924982184888</v>
      </c>
      <c r="J44" s="318">
        <f t="shared" si="22"/>
        <v>0.10185924982184888</v>
      </c>
      <c r="K44" s="167"/>
      <c r="L44" s="167"/>
      <c r="M44" s="167"/>
      <c r="N44" s="167"/>
      <c r="O44" s="167"/>
    </row>
    <row r="45" spans="1:15" x14ac:dyDescent="0.25">
      <c r="B45" s="4" t="s">
        <v>65</v>
      </c>
      <c r="C45" s="8">
        <f>BalSheet!C5</f>
        <v>0.29227312013828866</v>
      </c>
      <c r="D45" s="8">
        <f>BalSheet!D5</f>
        <v>0.26405618964003513</v>
      </c>
      <c r="E45" s="8">
        <f>BalSheet!E5</f>
        <v>0.28240129718315171</v>
      </c>
      <c r="F45" s="97">
        <f>E45-0.02</f>
        <v>0.26240129718315169</v>
      </c>
      <c r="G45" s="97">
        <f t="shared" ref="F45:M45" si="23">F45</f>
        <v>0.26240129718315169</v>
      </c>
      <c r="H45" s="97">
        <f t="shared" si="23"/>
        <v>0.26240129718315169</v>
      </c>
      <c r="I45" s="97">
        <f t="shared" si="23"/>
        <v>0.26240129718315169</v>
      </c>
      <c r="J45" s="318">
        <f t="shared" si="23"/>
        <v>0.26240129718315169</v>
      </c>
      <c r="K45" s="167"/>
      <c r="L45" s="167"/>
      <c r="M45" s="167"/>
      <c r="N45" s="167"/>
      <c r="O45" s="167"/>
    </row>
    <row r="46" spans="1:15" x14ac:dyDescent="0.25">
      <c r="B46" s="4" t="s">
        <v>66</v>
      </c>
      <c r="C46" s="8">
        <f>BalSheet!C6</f>
        <v>3.7917097838608277E-2</v>
      </c>
      <c r="D46" s="8">
        <f>BalSheet!D6</f>
        <v>3.6096725205404773E-2</v>
      </c>
      <c r="E46" s="8">
        <f>BalSheet!E6</f>
        <v>4.329611954479691E-2</v>
      </c>
      <c r="F46" s="97">
        <f t="shared" ref="F46:M46" si="24">E46</f>
        <v>4.329611954479691E-2</v>
      </c>
      <c r="G46" s="97">
        <f t="shared" si="24"/>
        <v>4.329611954479691E-2</v>
      </c>
      <c r="H46" s="97">
        <f t="shared" si="24"/>
        <v>4.329611954479691E-2</v>
      </c>
      <c r="I46" s="97">
        <f t="shared" si="24"/>
        <v>4.329611954479691E-2</v>
      </c>
      <c r="J46" s="318">
        <f t="shared" si="24"/>
        <v>4.329611954479691E-2</v>
      </c>
      <c r="K46" s="167"/>
      <c r="L46" s="167"/>
      <c r="M46" s="167"/>
      <c r="N46" s="167"/>
      <c r="O46" s="167"/>
    </row>
    <row r="47" spans="1:15" x14ac:dyDescent="0.25">
      <c r="B47" s="4" t="s">
        <v>67</v>
      </c>
      <c r="C47" s="8">
        <f>BalSheet!C7</f>
        <v>0.13067926664974519</v>
      </c>
      <c r="D47" s="8">
        <f>BalSheet!D7</f>
        <v>0.14074607686616564</v>
      </c>
      <c r="E47" s="8">
        <f>BalSheet!E7</f>
        <v>0.17037724848301625</v>
      </c>
      <c r="F47" s="97">
        <f>E47</f>
        <v>0.17037724848301625</v>
      </c>
      <c r="G47" s="97">
        <f t="shared" ref="G47:M47" si="25">F47</f>
        <v>0.17037724848301625</v>
      </c>
      <c r="H47" s="97">
        <f t="shared" si="25"/>
        <v>0.17037724848301625</v>
      </c>
      <c r="I47" s="97">
        <f t="shared" si="25"/>
        <v>0.17037724848301625</v>
      </c>
      <c r="J47" s="318">
        <f t="shared" si="25"/>
        <v>0.17037724848301625</v>
      </c>
      <c r="K47" s="167"/>
      <c r="L47" s="167"/>
      <c r="M47" s="167"/>
      <c r="N47" s="167"/>
      <c r="O47" s="167"/>
    </row>
    <row r="48" spans="1:15" x14ac:dyDescent="0.25">
      <c r="F48" s="32"/>
      <c r="G48" s="32"/>
      <c r="H48" s="32"/>
      <c r="I48" s="32"/>
      <c r="J48" s="32"/>
      <c r="K48" s="294"/>
      <c r="L48" s="294"/>
      <c r="M48" s="294"/>
      <c r="N48" s="32"/>
      <c r="O48" s="32"/>
    </row>
    <row r="49" spans="1:15" x14ac:dyDescent="0.25">
      <c r="A49" s="61" t="s">
        <v>125</v>
      </c>
      <c r="B49" s="103" t="s">
        <v>132</v>
      </c>
      <c r="C49" s="282">
        <f>C42</f>
        <v>2023</v>
      </c>
      <c r="D49" s="282">
        <f t="shared" ref="D49:M49" si="26">D42</f>
        <v>2024</v>
      </c>
      <c r="E49" s="282">
        <f t="shared" si="26"/>
        <v>2025</v>
      </c>
      <c r="F49" s="282">
        <f t="shared" si="26"/>
        <v>2026</v>
      </c>
      <c r="G49" s="282">
        <f t="shared" si="26"/>
        <v>2027</v>
      </c>
      <c r="H49" s="282">
        <f t="shared" si="26"/>
        <v>2028</v>
      </c>
      <c r="I49" s="282">
        <f t="shared" si="26"/>
        <v>2029</v>
      </c>
      <c r="J49" s="282">
        <f t="shared" si="26"/>
        <v>2030</v>
      </c>
      <c r="K49" s="289"/>
      <c r="L49" s="289"/>
      <c r="M49" s="289"/>
      <c r="N49" s="199"/>
      <c r="O49" s="199"/>
    </row>
    <row r="50" spans="1:15" x14ac:dyDescent="0.25">
      <c r="A50" s="82"/>
      <c r="B50" s="155"/>
      <c r="C50" s="196"/>
      <c r="D50" s="196"/>
      <c r="E50" s="196"/>
      <c r="F50" s="278"/>
      <c r="G50" s="278"/>
      <c r="H50" s="278"/>
      <c r="I50" s="278"/>
      <c r="J50" s="278"/>
      <c r="K50" s="199"/>
      <c r="L50" s="199"/>
      <c r="M50" s="199"/>
      <c r="N50" s="199"/>
      <c r="O50" s="199"/>
    </row>
    <row r="51" spans="1:15" x14ac:dyDescent="0.25">
      <c r="B51" s="4" t="s">
        <v>155</v>
      </c>
      <c r="C51" s="8">
        <f>BalSheet!C9</f>
        <v>0.10745030250648228</v>
      </c>
      <c r="D51" s="8">
        <f>BalSheet!D9</f>
        <v>0.11908691834942932</v>
      </c>
      <c r="E51" s="8">
        <f>BalSheet!E9</f>
        <v>0.15660469851804368</v>
      </c>
      <c r="F51" s="97">
        <f t="shared" ref="F51:M51" si="27">E51</f>
        <v>0.15660469851804368</v>
      </c>
      <c r="G51" s="97">
        <f t="shared" si="27"/>
        <v>0.15660469851804368</v>
      </c>
      <c r="H51" s="97">
        <f t="shared" si="27"/>
        <v>0.15660469851804368</v>
      </c>
      <c r="I51" s="97">
        <f t="shared" si="27"/>
        <v>0.15660469851804368</v>
      </c>
      <c r="J51" s="318">
        <f t="shared" si="27"/>
        <v>0.15660469851804368</v>
      </c>
      <c r="K51" s="167"/>
      <c r="L51" s="167"/>
      <c r="M51" s="167"/>
      <c r="N51" s="167"/>
      <c r="O51" s="167"/>
    </row>
    <row r="52" spans="1:15" x14ac:dyDescent="0.25">
      <c r="B52" s="4" t="s">
        <v>68</v>
      </c>
      <c r="C52" s="8">
        <f>BalSheet!C10</f>
        <v>0.12003826854364762</v>
      </c>
      <c r="D52" s="8">
        <f>BalSheet!D10</f>
        <v>0.1207507495814026</v>
      </c>
      <c r="E52" s="8">
        <f>BalSheet!E10</f>
        <v>0.13848280031959231</v>
      </c>
      <c r="F52" s="97">
        <f t="shared" ref="F52:M52" si="28">E52</f>
        <v>0.13848280031959231</v>
      </c>
      <c r="G52" s="97">
        <f t="shared" si="28"/>
        <v>0.13848280031959231</v>
      </c>
      <c r="H52" s="97">
        <f t="shared" si="28"/>
        <v>0.13848280031959231</v>
      </c>
      <c r="I52" s="97">
        <f t="shared" si="28"/>
        <v>0.13848280031959231</v>
      </c>
      <c r="J52" s="318">
        <f t="shared" si="28"/>
        <v>0.13848280031959231</v>
      </c>
      <c r="K52" s="167"/>
      <c r="L52" s="167"/>
      <c r="M52" s="167"/>
      <c r="N52" s="167"/>
      <c r="O52" s="167"/>
    </row>
    <row r="53" spans="1:15" x14ac:dyDescent="0.25">
      <c r="B53" s="4" t="s">
        <v>69</v>
      </c>
      <c r="C53" s="8">
        <f>BalSheet!C11</f>
        <v>0.10434035574125779</v>
      </c>
      <c r="D53" s="8">
        <f>BalSheet!D11</f>
        <v>0.100930649118025</v>
      </c>
      <c r="E53" s="8">
        <f>BalSheet!E11</f>
        <v>0.10449372692133278</v>
      </c>
      <c r="F53" s="97">
        <f t="shared" ref="F53:M53" si="29">E53</f>
        <v>0.10449372692133278</v>
      </c>
      <c r="G53" s="97">
        <f t="shared" si="29"/>
        <v>0.10449372692133278</v>
      </c>
      <c r="H53" s="97">
        <f t="shared" si="29"/>
        <v>0.10449372692133278</v>
      </c>
      <c r="I53" s="97">
        <f t="shared" si="29"/>
        <v>0.10449372692133278</v>
      </c>
      <c r="J53" s="318">
        <f t="shared" si="29"/>
        <v>0.10449372692133278</v>
      </c>
      <c r="K53" s="167"/>
      <c r="L53" s="167"/>
      <c r="M53" s="167"/>
      <c r="N53" s="167"/>
      <c r="O53" s="167"/>
    </row>
    <row r="54" spans="1:15" x14ac:dyDescent="0.25">
      <c r="F54" s="116"/>
      <c r="G54" s="32"/>
      <c r="H54" s="32"/>
      <c r="I54" s="32"/>
      <c r="J54" s="32"/>
    </row>
    <row r="55" spans="1:15" x14ac:dyDescent="0.25">
      <c r="F55" s="117"/>
      <c r="G55" s="91"/>
      <c r="H55" s="91"/>
      <c r="I55" s="91"/>
      <c r="J55" s="91"/>
    </row>
    <row r="56" spans="1:15" x14ac:dyDescent="0.25">
      <c r="F56" s="91"/>
      <c r="G56" s="91"/>
      <c r="H56" s="91"/>
      <c r="I56" s="91"/>
      <c r="J56" s="91"/>
    </row>
  </sheetData>
  <scenarios current="0">
    <scenario name="Pessimistic" locked="1" count="1" user="Alan Chen" comment="Created by Alan Chen on 9/28/2025">
      <inputCells r="D4" val=""/>
    </scenario>
  </scenarios>
  <dataConsolidate/>
  <conditionalFormatting sqref="D4:D5 B6 D6:E6 P6:P7 Q7:W7 D7:D8 P9:Q11 F38:O40 E45 F51:O53 F55:J56 N30:O30 F44:O47 F31:O34 F11:O29 F6:N8">
    <cfRule type="expression" dxfId="7" priority="14">
      <formula>$E$10&gt;1</formula>
    </cfRule>
  </conditionalFormatting>
  <conditionalFormatting sqref="E7">
    <cfRule type="expression" dxfId="6" priority="32">
      <formula>$E$10&lt;&gt;2</formula>
    </cfRule>
  </conditionalFormatting>
  <conditionalFormatting sqref="E8">
    <cfRule type="expression" dxfId="5" priority="33">
      <formula>$E$10&lt;&gt;3</formula>
    </cfRule>
  </conditionalFormatting>
  <conditionalFormatting sqref="K37:O37 N36:O36">
    <cfRule type="expression" dxfId="4" priority="3">
      <formula>$E$10&gt;1</formula>
    </cfRule>
  </conditionalFormatting>
  <conditionalFormatting sqref="K43:O43 N42:O42">
    <cfRule type="expression" dxfId="3" priority="2">
      <formula>$E$10&gt;1</formula>
    </cfRule>
  </conditionalFormatting>
  <conditionalFormatting sqref="K50:O50 N49:O49">
    <cfRule type="expression" dxfId="2" priority="1">
      <formula>$E$10&gt;1</formula>
    </cfRule>
  </conditionalFormatting>
  <dataValidations count="1">
    <dataValidation type="list" allowBlank="1" showInputMessage="1" showErrorMessage="1" sqref="D4 P4" xr:uid="{FF8E3CD2-0581-4318-AB93-6B284CEDF514}">
      <formula1>"1,2,3"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pageSetUpPr autoPageBreaks="0" fitToPage="1"/>
  </sheetPr>
  <dimension ref="A1:P39"/>
  <sheetViews>
    <sheetView showGridLines="0" zoomScaleNormal="100" workbookViewId="0">
      <selection activeCell="J24" sqref="J24:J25"/>
    </sheetView>
  </sheetViews>
  <sheetFormatPr defaultColWidth="8.85546875" defaultRowHeight="15" x14ac:dyDescent="0.25"/>
  <cols>
    <col min="1" max="1" width="1.7109375" style="11" customWidth="1"/>
    <col min="2" max="2" width="40.7109375" style="4" customWidth="1"/>
    <col min="3" max="8" width="11.7109375" style="4" customWidth="1"/>
    <col min="9" max="10" width="11.7109375" style="6" customWidth="1"/>
    <col min="11" max="13" width="11.7109375" style="292" customWidth="1"/>
    <col min="14" max="15" width="11.42578125" style="4" customWidth="1"/>
    <col min="16" max="256" width="8.85546875" style="4"/>
    <col min="257" max="257" width="1.7109375" style="4" customWidth="1"/>
    <col min="258" max="258" width="40.7109375" style="4" customWidth="1"/>
    <col min="259" max="266" width="10.7109375" style="4" customWidth="1"/>
    <col min="267" max="512" width="8.85546875" style="4"/>
    <col min="513" max="513" width="1.7109375" style="4" customWidth="1"/>
    <col min="514" max="514" width="40.7109375" style="4" customWidth="1"/>
    <col min="515" max="522" width="10.7109375" style="4" customWidth="1"/>
    <col min="523" max="768" width="8.85546875" style="4"/>
    <col min="769" max="769" width="1.7109375" style="4" customWidth="1"/>
    <col min="770" max="770" width="40.7109375" style="4" customWidth="1"/>
    <col min="771" max="778" width="10.7109375" style="4" customWidth="1"/>
    <col min="779" max="1024" width="8.85546875" style="4"/>
    <col min="1025" max="1025" width="1.7109375" style="4" customWidth="1"/>
    <col min="1026" max="1026" width="40.7109375" style="4" customWidth="1"/>
    <col min="1027" max="1034" width="10.7109375" style="4" customWidth="1"/>
    <col min="1035" max="1280" width="8.85546875" style="4"/>
    <col min="1281" max="1281" width="1.7109375" style="4" customWidth="1"/>
    <col min="1282" max="1282" width="40.7109375" style="4" customWidth="1"/>
    <col min="1283" max="1290" width="10.7109375" style="4" customWidth="1"/>
    <col min="1291" max="1536" width="8.85546875" style="4"/>
    <col min="1537" max="1537" width="1.7109375" style="4" customWidth="1"/>
    <col min="1538" max="1538" width="40.7109375" style="4" customWidth="1"/>
    <col min="1539" max="1546" width="10.7109375" style="4" customWidth="1"/>
    <col min="1547" max="1792" width="8.85546875" style="4"/>
    <col min="1793" max="1793" width="1.7109375" style="4" customWidth="1"/>
    <col min="1794" max="1794" width="40.7109375" style="4" customWidth="1"/>
    <col min="1795" max="1802" width="10.7109375" style="4" customWidth="1"/>
    <col min="1803" max="2048" width="8.85546875" style="4"/>
    <col min="2049" max="2049" width="1.7109375" style="4" customWidth="1"/>
    <col min="2050" max="2050" width="40.7109375" style="4" customWidth="1"/>
    <col min="2051" max="2058" width="10.7109375" style="4" customWidth="1"/>
    <col min="2059" max="2304" width="8.85546875" style="4"/>
    <col min="2305" max="2305" width="1.7109375" style="4" customWidth="1"/>
    <col min="2306" max="2306" width="40.7109375" style="4" customWidth="1"/>
    <col min="2307" max="2314" width="10.7109375" style="4" customWidth="1"/>
    <col min="2315" max="2560" width="8.85546875" style="4"/>
    <col min="2561" max="2561" width="1.7109375" style="4" customWidth="1"/>
    <col min="2562" max="2562" width="40.7109375" style="4" customWidth="1"/>
    <col min="2563" max="2570" width="10.7109375" style="4" customWidth="1"/>
    <col min="2571" max="2816" width="8.85546875" style="4"/>
    <col min="2817" max="2817" width="1.7109375" style="4" customWidth="1"/>
    <col min="2818" max="2818" width="40.7109375" style="4" customWidth="1"/>
    <col min="2819" max="2826" width="10.7109375" style="4" customWidth="1"/>
    <col min="2827" max="3072" width="8.85546875" style="4"/>
    <col min="3073" max="3073" width="1.7109375" style="4" customWidth="1"/>
    <col min="3074" max="3074" width="40.7109375" style="4" customWidth="1"/>
    <col min="3075" max="3082" width="10.7109375" style="4" customWidth="1"/>
    <col min="3083" max="3328" width="8.85546875" style="4"/>
    <col min="3329" max="3329" width="1.7109375" style="4" customWidth="1"/>
    <col min="3330" max="3330" width="40.7109375" style="4" customWidth="1"/>
    <col min="3331" max="3338" width="10.7109375" style="4" customWidth="1"/>
    <col min="3339" max="3584" width="8.85546875" style="4"/>
    <col min="3585" max="3585" width="1.7109375" style="4" customWidth="1"/>
    <col min="3586" max="3586" width="40.7109375" style="4" customWidth="1"/>
    <col min="3587" max="3594" width="10.7109375" style="4" customWidth="1"/>
    <col min="3595" max="3840" width="8.85546875" style="4"/>
    <col min="3841" max="3841" width="1.7109375" style="4" customWidth="1"/>
    <col min="3842" max="3842" width="40.7109375" style="4" customWidth="1"/>
    <col min="3843" max="3850" width="10.7109375" style="4" customWidth="1"/>
    <col min="3851" max="4096" width="8.85546875" style="4"/>
    <col min="4097" max="4097" width="1.7109375" style="4" customWidth="1"/>
    <col min="4098" max="4098" width="40.7109375" style="4" customWidth="1"/>
    <col min="4099" max="4106" width="10.7109375" style="4" customWidth="1"/>
    <col min="4107" max="4352" width="8.85546875" style="4"/>
    <col min="4353" max="4353" width="1.7109375" style="4" customWidth="1"/>
    <col min="4354" max="4354" width="40.7109375" style="4" customWidth="1"/>
    <col min="4355" max="4362" width="10.7109375" style="4" customWidth="1"/>
    <col min="4363" max="4608" width="8.85546875" style="4"/>
    <col min="4609" max="4609" width="1.7109375" style="4" customWidth="1"/>
    <col min="4610" max="4610" width="40.7109375" style="4" customWidth="1"/>
    <col min="4611" max="4618" width="10.7109375" style="4" customWidth="1"/>
    <col min="4619" max="4864" width="8.85546875" style="4"/>
    <col min="4865" max="4865" width="1.7109375" style="4" customWidth="1"/>
    <col min="4866" max="4866" width="40.7109375" style="4" customWidth="1"/>
    <col min="4867" max="4874" width="10.7109375" style="4" customWidth="1"/>
    <col min="4875" max="5120" width="8.85546875" style="4"/>
    <col min="5121" max="5121" width="1.7109375" style="4" customWidth="1"/>
    <col min="5122" max="5122" width="40.7109375" style="4" customWidth="1"/>
    <col min="5123" max="5130" width="10.7109375" style="4" customWidth="1"/>
    <col min="5131" max="5376" width="8.85546875" style="4"/>
    <col min="5377" max="5377" width="1.7109375" style="4" customWidth="1"/>
    <col min="5378" max="5378" width="40.7109375" style="4" customWidth="1"/>
    <col min="5379" max="5386" width="10.7109375" style="4" customWidth="1"/>
    <col min="5387" max="5632" width="8.85546875" style="4"/>
    <col min="5633" max="5633" width="1.7109375" style="4" customWidth="1"/>
    <col min="5634" max="5634" width="40.7109375" style="4" customWidth="1"/>
    <col min="5635" max="5642" width="10.7109375" style="4" customWidth="1"/>
    <col min="5643" max="5888" width="8.85546875" style="4"/>
    <col min="5889" max="5889" width="1.7109375" style="4" customWidth="1"/>
    <col min="5890" max="5890" width="40.7109375" style="4" customWidth="1"/>
    <col min="5891" max="5898" width="10.7109375" style="4" customWidth="1"/>
    <col min="5899" max="6144" width="8.85546875" style="4"/>
    <col min="6145" max="6145" width="1.7109375" style="4" customWidth="1"/>
    <col min="6146" max="6146" width="40.7109375" style="4" customWidth="1"/>
    <col min="6147" max="6154" width="10.7109375" style="4" customWidth="1"/>
    <col min="6155" max="6400" width="8.85546875" style="4"/>
    <col min="6401" max="6401" width="1.7109375" style="4" customWidth="1"/>
    <col min="6402" max="6402" width="40.7109375" style="4" customWidth="1"/>
    <col min="6403" max="6410" width="10.7109375" style="4" customWidth="1"/>
    <col min="6411" max="6656" width="8.85546875" style="4"/>
    <col min="6657" max="6657" width="1.7109375" style="4" customWidth="1"/>
    <col min="6658" max="6658" width="40.7109375" style="4" customWidth="1"/>
    <col min="6659" max="6666" width="10.7109375" style="4" customWidth="1"/>
    <col min="6667" max="6912" width="8.85546875" style="4"/>
    <col min="6913" max="6913" width="1.7109375" style="4" customWidth="1"/>
    <col min="6914" max="6914" width="40.7109375" style="4" customWidth="1"/>
    <col min="6915" max="6922" width="10.7109375" style="4" customWidth="1"/>
    <col min="6923" max="7168" width="8.85546875" style="4"/>
    <col min="7169" max="7169" width="1.7109375" style="4" customWidth="1"/>
    <col min="7170" max="7170" width="40.7109375" style="4" customWidth="1"/>
    <col min="7171" max="7178" width="10.7109375" style="4" customWidth="1"/>
    <col min="7179" max="7424" width="8.85546875" style="4"/>
    <col min="7425" max="7425" width="1.7109375" style="4" customWidth="1"/>
    <col min="7426" max="7426" width="40.7109375" style="4" customWidth="1"/>
    <col min="7427" max="7434" width="10.7109375" style="4" customWidth="1"/>
    <col min="7435" max="7680" width="8.85546875" style="4"/>
    <col min="7681" max="7681" width="1.7109375" style="4" customWidth="1"/>
    <col min="7682" max="7682" width="40.7109375" style="4" customWidth="1"/>
    <col min="7683" max="7690" width="10.7109375" style="4" customWidth="1"/>
    <col min="7691" max="7936" width="8.85546875" style="4"/>
    <col min="7937" max="7937" width="1.7109375" style="4" customWidth="1"/>
    <col min="7938" max="7938" width="40.7109375" style="4" customWidth="1"/>
    <col min="7939" max="7946" width="10.7109375" style="4" customWidth="1"/>
    <col min="7947" max="8192" width="8.85546875" style="4"/>
    <col min="8193" max="8193" width="1.7109375" style="4" customWidth="1"/>
    <col min="8194" max="8194" width="40.7109375" style="4" customWidth="1"/>
    <col min="8195" max="8202" width="10.7109375" style="4" customWidth="1"/>
    <col min="8203" max="8448" width="8.85546875" style="4"/>
    <col min="8449" max="8449" width="1.7109375" style="4" customWidth="1"/>
    <col min="8450" max="8450" width="40.7109375" style="4" customWidth="1"/>
    <col min="8451" max="8458" width="10.7109375" style="4" customWidth="1"/>
    <col min="8459" max="8704" width="8.85546875" style="4"/>
    <col min="8705" max="8705" width="1.7109375" style="4" customWidth="1"/>
    <col min="8706" max="8706" width="40.7109375" style="4" customWidth="1"/>
    <col min="8707" max="8714" width="10.7109375" style="4" customWidth="1"/>
    <col min="8715" max="8960" width="8.85546875" style="4"/>
    <col min="8961" max="8961" width="1.7109375" style="4" customWidth="1"/>
    <col min="8962" max="8962" width="40.7109375" style="4" customWidth="1"/>
    <col min="8963" max="8970" width="10.7109375" style="4" customWidth="1"/>
    <col min="8971" max="9216" width="8.85546875" style="4"/>
    <col min="9217" max="9217" width="1.7109375" style="4" customWidth="1"/>
    <col min="9218" max="9218" width="40.7109375" style="4" customWidth="1"/>
    <col min="9219" max="9226" width="10.7109375" style="4" customWidth="1"/>
    <col min="9227" max="9472" width="8.85546875" style="4"/>
    <col min="9473" max="9473" width="1.7109375" style="4" customWidth="1"/>
    <col min="9474" max="9474" width="40.7109375" style="4" customWidth="1"/>
    <col min="9475" max="9482" width="10.7109375" style="4" customWidth="1"/>
    <col min="9483" max="9728" width="8.85546875" style="4"/>
    <col min="9729" max="9729" width="1.7109375" style="4" customWidth="1"/>
    <col min="9730" max="9730" width="40.7109375" style="4" customWidth="1"/>
    <col min="9731" max="9738" width="10.7109375" style="4" customWidth="1"/>
    <col min="9739" max="9984" width="8.85546875" style="4"/>
    <col min="9985" max="9985" width="1.7109375" style="4" customWidth="1"/>
    <col min="9986" max="9986" width="40.7109375" style="4" customWidth="1"/>
    <col min="9987" max="9994" width="10.7109375" style="4" customWidth="1"/>
    <col min="9995" max="10240" width="8.85546875" style="4"/>
    <col min="10241" max="10241" width="1.7109375" style="4" customWidth="1"/>
    <col min="10242" max="10242" width="40.7109375" style="4" customWidth="1"/>
    <col min="10243" max="10250" width="10.7109375" style="4" customWidth="1"/>
    <col min="10251" max="10496" width="8.85546875" style="4"/>
    <col min="10497" max="10497" width="1.7109375" style="4" customWidth="1"/>
    <col min="10498" max="10498" width="40.7109375" style="4" customWidth="1"/>
    <col min="10499" max="10506" width="10.7109375" style="4" customWidth="1"/>
    <col min="10507" max="10752" width="8.85546875" style="4"/>
    <col min="10753" max="10753" width="1.7109375" style="4" customWidth="1"/>
    <col min="10754" max="10754" width="40.7109375" style="4" customWidth="1"/>
    <col min="10755" max="10762" width="10.7109375" style="4" customWidth="1"/>
    <col min="10763" max="11008" width="8.85546875" style="4"/>
    <col min="11009" max="11009" width="1.7109375" style="4" customWidth="1"/>
    <col min="11010" max="11010" width="40.7109375" style="4" customWidth="1"/>
    <col min="11011" max="11018" width="10.7109375" style="4" customWidth="1"/>
    <col min="11019" max="11264" width="8.85546875" style="4"/>
    <col min="11265" max="11265" width="1.7109375" style="4" customWidth="1"/>
    <col min="11266" max="11266" width="40.7109375" style="4" customWidth="1"/>
    <col min="11267" max="11274" width="10.7109375" style="4" customWidth="1"/>
    <col min="11275" max="11520" width="8.85546875" style="4"/>
    <col min="11521" max="11521" width="1.7109375" style="4" customWidth="1"/>
    <col min="11522" max="11522" width="40.7109375" style="4" customWidth="1"/>
    <col min="11523" max="11530" width="10.7109375" style="4" customWidth="1"/>
    <col min="11531" max="11776" width="8.85546875" style="4"/>
    <col min="11777" max="11777" width="1.7109375" style="4" customWidth="1"/>
    <col min="11778" max="11778" width="40.7109375" style="4" customWidth="1"/>
    <col min="11779" max="11786" width="10.7109375" style="4" customWidth="1"/>
    <col min="11787" max="12032" width="8.85546875" style="4"/>
    <col min="12033" max="12033" width="1.7109375" style="4" customWidth="1"/>
    <col min="12034" max="12034" width="40.7109375" style="4" customWidth="1"/>
    <col min="12035" max="12042" width="10.7109375" style="4" customWidth="1"/>
    <col min="12043" max="12288" width="8.85546875" style="4"/>
    <col min="12289" max="12289" width="1.7109375" style="4" customWidth="1"/>
    <col min="12290" max="12290" width="40.7109375" style="4" customWidth="1"/>
    <col min="12291" max="12298" width="10.7109375" style="4" customWidth="1"/>
    <col min="12299" max="12544" width="8.85546875" style="4"/>
    <col min="12545" max="12545" width="1.7109375" style="4" customWidth="1"/>
    <col min="12546" max="12546" width="40.7109375" style="4" customWidth="1"/>
    <col min="12547" max="12554" width="10.7109375" style="4" customWidth="1"/>
    <col min="12555" max="12800" width="8.85546875" style="4"/>
    <col min="12801" max="12801" width="1.7109375" style="4" customWidth="1"/>
    <col min="12802" max="12802" width="40.7109375" style="4" customWidth="1"/>
    <col min="12803" max="12810" width="10.7109375" style="4" customWidth="1"/>
    <col min="12811" max="13056" width="8.85546875" style="4"/>
    <col min="13057" max="13057" width="1.7109375" style="4" customWidth="1"/>
    <col min="13058" max="13058" width="40.7109375" style="4" customWidth="1"/>
    <col min="13059" max="13066" width="10.7109375" style="4" customWidth="1"/>
    <col min="13067" max="13312" width="8.85546875" style="4"/>
    <col min="13313" max="13313" width="1.7109375" style="4" customWidth="1"/>
    <col min="13314" max="13314" width="40.7109375" style="4" customWidth="1"/>
    <col min="13315" max="13322" width="10.7109375" style="4" customWidth="1"/>
    <col min="13323" max="13568" width="8.85546875" style="4"/>
    <col min="13569" max="13569" width="1.7109375" style="4" customWidth="1"/>
    <col min="13570" max="13570" width="40.7109375" style="4" customWidth="1"/>
    <col min="13571" max="13578" width="10.7109375" style="4" customWidth="1"/>
    <col min="13579" max="13824" width="8.85546875" style="4"/>
    <col min="13825" max="13825" width="1.7109375" style="4" customWidth="1"/>
    <col min="13826" max="13826" width="40.7109375" style="4" customWidth="1"/>
    <col min="13827" max="13834" width="10.7109375" style="4" customWidth="1"/>
    <col min="13835" max="14080" width="8.85546875" style="4"/>
    <col min="14081" max="14081" width="1.7109375" style="4" customWidth="1"/>
    <col min="14082" max="14082" width="40.7109375" style="4" customWidth="1"/>
    <col min="14083" max="14090" width="10.7109375" style="4" customWidth="1"/>
    <col min="14091" max="14336" width="8.85546875" style="4"/>
    <col min="14337" max="14337" width="1.7109375" style="4" customWidth="1"/>
    <col min="14338" max="14338" width="40.7109375" style="4" customWidth="1"/>
    <col min="14339" max="14346" width="10.7109375" style="4" customWidth="1"/>
    <col min="14347" max="14592" width="8.85546875" style="4"/>
    <col min="14593" max="14593" width="1.7109375" style="4" customWidth="1"/>
    <col min="14594" max="14594" width="40.7109375" style="4" customWidth="1"/>
    <col min="14595" max="14602" width="10.7109375" style="4" customWidth="1"/>
    <col min="14603" max="14848" width="8.85546875" style="4"/>
    <col min="14849" max="14849" width="1.7109375" style="4" customWidth="1"/>
    <col min="14850" max="14850" width="40.7109375" style="4" customWidth="1"/>
    <col min="14851" max="14858" width="10.7109375" style="4" customWidth="1"/>
    <col min="14859" max="15104" width="8.85546875" style="4"/>
    <col min="15105" max="15105" width="1.7109375" style="4" customWidth="1"/>
    <col min="15106" max="15106" width="40.7109375" style="4" customWidth="1"/>
    <col min="15107" max="15114" width="10.7109375" style="4" customWidth="1"/>
    <col min="15115" max="15360" width="8.85546875" style="4"/>
    <col min="15361" max="15361" width="1.7109375" style="4" customWidth="1"/>
    <col min="15362" max="15362" width="40.7109375" style="4" customWidth="1"/>
    <col min="15363" max="15370" width="10.7109375" style="4" customWidth="1"/>
    <col min="15371" max="15616" width="8.85546875" style="4"/>
    <col min="15617" max="15617" width="1.7109375" style="4" customWidth="1"/>
    <col min="15618" max="15618" width="40.7109375" style="4" customWidth="1"/>
    <col min="15619" max="15626" width="10.7109375" style="4" customWidth="1"/>
    <col min="15627" max="15872" width="8.85546875" style="4"/>
    <col min="15873" max="15873" width="1.7109375" style="4" customWidth="1"/>
    <col min="15874" max="15874" width="40.7109375" style="4" customWidth="1"/>
    <col min="15875" max="15882" width="10.7109375" style="4" customWidth="1"/>
    <col min="15883" max="16128" width="8.85546875" style="4"/>
    <col min="16129" max="16129" width="1.7109375" style="4" customWidth="1"/>
    <col min="16130" max="16130" width="40.7109375" style="4" customWidth="1"/>
    <col min="16131" max="16138" width="10.7109375" style="4" customWidth="1"/>
    <col min="16139" max="16384" width="8.85546875" style="4"/>
  </cols>
  <sheetData>
    <row r="1" spans="1:16" s="2" customFormat="1" ht="19.5" x14ac:dyDescent="0.3">
      <c r="A1" s="272" t="str">
        <f>CoName</f>
        <v>Nike Inc.</v>
      </c>
      <c r="B1" s="3"/>
      <c r="C1" s="43" t="s">
        <v>0</v>
      </c>
      <c r="D1" s="43" t="s">
        <v>0</v>
      </c>
      <c r="E1" s="43" t="s">
        <v>0</v>
      </c>
      <c r="F1" s="43" t="s">
        <v>1</v>
      </c>
      <c r="G1" s="43" t="s">
        <v>1</v>
      </c>
      <c r="H1" s="43" t="s">
        <v>1</v>
      </c>
      <c r="I1" s="43" t="s">
        <v>1</v>
      </c>
      <c r="J1" s="43" t="s">
        <v>1</v>
      </c>
      <c r="K1" s="43"/>
      <c r="L1" s="43"/>
      <c r="M1" s="43"/>
      <c r="N1" s="43"/>
      <c r="O1" s="43"/>
    </row>
    <row r="2" spans="1:16" x14ac:dyDescent="0.25">
      <c r="A2" s="22" t="s">
        <v>11</v>
      </c>
      <c r="B2" s="21"/>
      <c r="C2" s="193">
        <v>2023</v>
      </c>
      <c r="D2" s="271">
        <f>C2+1</f>
        <v>2024</v>
      </c>
      <c r="E2" s="271">
        <f t="shared" ref="E2:M2" si="0">D2+1</f>
        <v>2025</v>
      </c>
      <c r="F2" s="271">
        <f t="shared" si="0"/>
        <v>2026</v>
      </c>
      <c r="G2" s="271">
        <f t="shared" si="0"/>
        <v>2027</v>
      </c>
      <c r="H2" s="271">
        <f t="shared" si="0"/>
        <v>2028</v>
      </c>
      <c r="I2" s="271">
        <f t="shared" si="0"/>
        <v>2029</v>
      </c>
      <c r="J2" s="271">
        <f t="shared" si="0"/>
        <v>2030</v>
      </c>
      <c r="K2" s="295"/>
      <c r="L2" s="295"/>
      <c r="M2" s="295"/>
      <c r="N2" s="194"/>
      <c r="O2" s="194"/>
      <c r="P2" s="194"/>
    </row>
    <row r="3" spans="1:16" x14ac:dyDescent="0.25">
      <c r="B3" s="4" t="s">
        <v>12</v>
      </c>
      <c r="C3" s="31"/>
      <c r="D3" s="31"/>
      <c r="E3" s="42">
        <v>1.2999999999999999E-2</v>
      </c>
      <c r="F3" s="203">
        <f>Assumptions!F32</f>
        <v>1.3021226975317973E-2</v>
      </c>
      <c r="G3" s="203">
        <f>Assumptions!G32</f>
        <v>1.3021226975317973E-2</v>
      </c>
      <c r="H3" s="203">
        <f>Assumptions!H32</f>
        <v>1.3021226975317973E-2</v>
      </c>
      <c r="I3" s="203">
        <f>Assumptions!I32</f>
        <v>1.3021226975317973E-2</v>
      </c>
      <c r="J3" s="203">
        <f>Assumptions!J32</f>
        <v>1.3021226975317973E-2</v>
      </c>
      <c r="K3" s="297"/>
      <c r="L3" s="297"/>
      <c r="M3" s="297"/>
      <c r="N3" s="201"/>
      <c r="O3" s="201"/>
    </row>
    <row r="4" spans="1:16" x14ac:dyDescent="0.25">
      <c r="B4" s="4" t="s">
        <v>136</v>
      </c>
      <c r="C4" s="31"/>
      <c r="D4" s="31"/>
      <c r="E4" s="42"/>
      <c r="F4" s="203">
        <f>Assumptions!F33</f>
        <v>0.155</v>
      </c>
      <c r="G4" s="203">
        <f>F4</f>
        <v>0.155</v>
      </c>
      <c r="H4" s="203">
        <f t="shared" ref="H4:J4" si="1">G4</f>
        <v>0.155</v>
      </c>
      <c r="I4" s="203">
        <f t="shared" si="1"/>
        <v>0.155</v>
      </c>
      <c r="J4" s="203">
        <f t="shared" si="1"/>
        <v>0.155</v>
      </c>
      <c r="K4" s="297"/>
      <c r="L4" s="297"/>
      <c r="M4" s="297"/>
      <c r="N4" s="201"/>
      <c r="O4" s="201"/>
    </row>
    <row r="5" spans="1:16" x14ac:dyDescent="0.25">
      <c r="E5" s="29"/>
      <c r="F5" s="75"/>
      <c r="G5" s="63"/>
      <c r="H5" s="80"/>
      <c r="I5" s="63"/>
      <c r="J5" s="63"/>
    </row>
    <row r="6" spans="1:16" x14ac:dyDescent="0.25">
      <c r="B6" s="4" t="s">
        <v>13</v>
      </c>
      <c r="D6" s="4">
        <f>C9</f>
        <v>5081</v>
      </c>
      <c r="E6" s="29">
        <f>D9</f>
        <v>5000</v>
      </c>
      <c r="F6" s="328">
        <f>E9</f>
        <v>4828</v>
      </c>
      <c r="G6" s="328">
        <f t="shared" ref="G6:J6" si="2">F9</f>
        <v>4717.5303676194144</v>
      </c>
      <c r="H6" s="328">
        <f t="shared" si="2"/>
        <v>4663.4523884167857</v>
      </c>
      <c r="I6" s="328">
        <f t="shared" si="2"/>
        <v>4662.4678489568178</v>
      </c>
      <c r="J6" s="328">
        <f t="shared" si="2"/>
        <v>4712.7379166841274</v>
      </c>
    </row>
    <row r="7" spans="1:16" x14ac:dyDescent="0.25">
      <c r="B7" s="4" t="s">
        <v>14</v>
      </c>
      <c r="C7" s="13"/>
      <c r="D7" s="13">
        <f>D9-D6+D8</f>
        <v>715</v>
      </c>
      <c r="E7" s="329">
        <f>E9-E6+E8</f>
        <v>603</v>
      </c>
      <c r="F7" s="4">
        <f>F3*IncState!F16</f>
        <v>637.87036761941442</v>
      </c>
      <c r="G7" s="4">
        <f>G3*IncState!G16</f>
        <v>677.13922777838093</v>
      </c>
      <c r="H7" s="4">
        <f>H3*IncState!H16</f>
        <v>721.85058074463359</v>
      </c>
      <c r="I7" s="4">
        <f>I3*IncState!I16</f>
        <v>772.95258431561649</v>
      </c>
      <c r="J7" s="4">
        <f>J3*IncState!J16</f>
        <v>831.74994750893404</v>
      </c>
    </row>
    <row r="8" spans="1:16" x14ac:dyDescent="0.25">
      <c r="B8" s="4" t="s">
        <v>15</v>
      </c>
      <c r="D8" s="4">
        <f>IncState!D22</f>
        <v>796</v>
      </c>
      <c r="E8" s="29">
        <f>IncState!E22</f>
        <v>775</v>
      </c>
      <c r="F8" s="4">
        <f>F6*F4</f>
        <v>748.34</v>
      </c>
      <c r="G8" s="4">
        <f t="shared" ref="G8:J8" si="3">G6*G4</f>
        <v>731.21720698100921</v>
      </c>
      <c r="H8" s="4">
        <f t="shared" si="3"/>
        <v>722.83512020460182</v>
      </c>
      <c r="I8" s="4">
        <f t="shared" si="3"/>
        <v>722.68251658830673</v>
      </c>
      <c r="J8" s="4">
        <f t="shared" si="3"/>
        <v>730.47437708603979</v>
      </c>
    </row>
    <row r="9" spans="1:16" x14ac:dyDescent="0.25">
      <c r="B9" s="4" t="s">
        <v>16</v>
      </c>
      <c r="C9" s="4">
        <f>BalSheet!C20</f>
        <v>5081</v>
      </c>
      <c r="D9" s="4">
        <f>BalSheet!D20</f>
        <v>5000</v>
      </c>
      <c r="E9" s="29">
        <f>BalSheet!E20</f>
        <v>4828</v>
      </c>
      <c r="F9" s="4">
        <f>F6+F7-F8</f>
        <v>4717.5303676194144</v>
      </c>
      <c r="G9" s="4">
        <f t="shared" ref="G9:J9" si="4">G6+G7-G8</f>
        <v>4663.4523884167857</v>
      </c>
      <c r="H9" s="4">
        <f t="shared" si="4"/>
        <v>4662.4678489568178</v>
      </c>
      <c r="I9" s="4">
        <f t="shared" si="4"/>
        <v>4712.7379166841274</v>
      </c>
      <c r="J9" s="4">
        <f t="shared" si="4"/>
        <v>4814.0134871070222</v>
      </c>
    </row>
    <row r="10" spans="1:16" x14ac:dyDescent="0.25">
      <c r="A10" s="22" t="s">
        <v>17</v>
      </c>
      <c r="B10" s="44"/>
      <c r="C10" s="247">
        <f t="shared" ref="C10:M10" si="5">C2</f>
        <v>2023</v>
      </c>
      <c r="D10" s="247">
        <f t="shared" si="5"/>
        <v>2024</v>
      </c>
      <c r="E10" s="247">
        <f t="shared" si="5"/>
        <v>2025</v>
      </c>
      <c r="F10" s="247">
        <f t="shared" si="5"/>
        <v>2026</v>
      </c>
      <c r="G10" s="247">
        <f t="shared" si="5"/>
        <v>2027</v>
      </c>
      <c r="H10" s="247">
        <f t="shared" si="5"/>
        <v>2028</v>
      </c>
      <c r="I10" s="247">
        <f t="shared" si="5"/>
        <v>2029</v>
      </c>
      <c r="J10" s="247">
        <f t="shared" si="5"/>
        <v>2030</v>
      </c>
      <c r="K10" s="289"/>
      <c r="L10" s="289"/>
      <c r="M10" s="289"/>
      <c r="N10" s="196"/>
      <c r="O10" s="196"/>
    </row>
    <row r="11" spans="1:16" x14ac:dyDescent="0.25">
      <c r="B11" s="4" t="s">
        <v>18</v>
      </c>
      <c r="E11" s="29"/>
      <c r="F11" s="273">
        <f>Assumptions!F34</f>
        <v>-3000</v>
      </c>
      <c r="G11" s="273">
        <f>Assumptions!G34</f>
        <v>-3000</v>
      </c>
      <c r="H11" s="273">
        <f>Assumptions!H34</f>
        <v>0</v>
      </c>
      <c r="I11" s="273">
        <f>Assumptions!I34</f>
        <v>0</v>
      </c>
      <c r="J11" s="273">
        <f>Assumptions!J34</f>
        <v>0</v>
      </c>
      <c r="K11" s="298"/>
      <c r="L11" s="298"/>
      <c r="M11" s="298"/>
      <c r="N11" s="202"/>
      <c r="O11" s="202"/>
    </row>
    <row r="12" spans="1:16" x14ac:dyDescent="0.25">
      <c r="E12" s="29"/>
      <c r="F12" s="75"/>
      <c r="G12" s="63"/>
      <c r="H12" s="80"/>
      <c r="I12" s="63"/>
      <c r="J12" s="63"/>
    </row>
    <row r="13" spans="1:16" x14ac:dyDescent="0.25">
      <c r="B13" s="4" t="s">
        <v>19</v>
      </c>
      <c r="E13" s="29"/>
      <c r="F13" s="4">
        <f>E17</f>
        <v>13213</v>
      </c>
      <c r="G13" s="4">
        <f t="shared" ref="G13:J13" si="6">F17</f>
        <v>10253.905666749244</v>
      </c>
      <c r="H13" s="4">
        <f t="shared" si="6"/>
        <v>7888.8349345376228</v>
      </c>
      <c r="I13" s="4">
        <f t="shared" si="6"/>
        <v>9153.88925384697</v>
      </c>
      <c r="J13" s="4">
        <f t="shared" si="6"/>
        <v>11138.536626720175</v>
      </c>
    </row>
    <row r="14" spans="1:16" x14ac:dyDescent="0.25">
      <c r="B14" s="4" t="s">
        <v>20</v>
      </c>
      <c r="E14" s="29"/>
      <c r="F14" s="4">
        <f>IncState!F35</f>
        <v>2286.693261873495</v>
      </c>
      <c r="G14" s="4">
        <f>IncState!G35</f>
        <v>2826.504458036879</v>
      </c>
      <c r="H14" s="4">
        <f>IncState!H35</f>
        <v>3456.6295095578475</v>
      </c>
      <c r="I14" s="4">
        <f>IncState!I35</f>
        <v>4176.2225631217061</v>
      </c>
      <c r="J14" s="4">
        <f>IncState!J35</f>
        <v>5004.9133736962049</v>
      </c>
    </row>
    <row r="15" spans="1:16" x14ac:dyDescent="0.25">
      <c r="B15" s="4" t="s">
        <v>21</v>
      </c>
      <c r="E15" s="29"/>
      <c r="F15" s="4">
        <f>-IncState!F37</f>
        <v>-2245.7875951242509</v>
      </c>
      <c r="G15" s="4">
        <f>-IncState!G37</f>
        <v>-2191.5751902485017</v>
      </c>
      <c r="H15" s="4">
        <f>-IncState!H37</f>
        <v>-2191.5751902485017</v>
      </c>
      <c r="I15" s="4">
        <f>-IncState!I37</f>
        <v>-2191.5751902485017</v>
      </c>
      <c r="J15" s="4">
        <f>-IncState!J37</f>
        <v>-2191.5751902485017</v>
      </c>
    </row>
    <row r="16" spans="1:16" x14ac:dyDescent="0.25">
      <c r="B16" s="4" t="s">
        <v>22</v>
      </c>
      <c r="E16" s="29"/>
      <c r="F16" s="4">
        <f>F11</f>
        <v>-3000</v>
      </c>
      <c r="G16" s="4">
        <f t="shared" ref="G16:J16" si="7">G11</f>
        <v>-3000</v>
      </c>
      <c r="H16" s="4">
        <f t="shared" si="7"/>
        <v>0</v>
      </c>
      <c r="I16" s="4">
        <f t="shared" si="7"/>
        <v>0</v>
      </c>
      <c r="J16" s="4">
        <f t="shared" si="7"/>
        <v>0</v>
      </c>
    </row>
    <row r="17" spans="1:15" x14ac:dyDescent="0.25">
      <c r="B17" s="4" t="s">
        <v>23</v>
      </c>
      <c r="E17" s="29">
        <f>BalSheet!E36</f>
        <v>13213</v>
      </c>
      <c r="F17" s="4">
        <f>SUM(F13:F16)</f>
        <v>10253.905666749244</v>
      </c>
      <c r="G17" s="4">
        <f t="shared" ref="G17:J17" si="8">SUM(G13:G16)</f>
        <v>7888.8349345376228</v>
      </c>
      <c r="H17" s="4">
        <f t="shared" si="8"/>
        <v>9153.88925384697</v>
      </c>
      <c r="I17" s="4">
        <f t="shared" si="8"/>
        <v>11138.536626720175</v>
      </c>
      <c r="J17" s="4">
        <f t="shared" si="8"/>
        <v>13951.874810167879</v>
      </c>
    </row>
    <row r="18" spans="1:15" x14ac:dyDescent="0.25">
      <c r="A18" s="22" t="s">
        <v>24</v>
      </c>
      <c r="B18" s="44"/>
      <c r="C18" s="247">
        <f>C10</f>
        <v>2023</v>
      </c>
      <c r="D18" s="247">
        <f t="shared" ref="D18:M18" si="9">D10</f>
        <v>2024</v>
      </c>
      <c r="E18" s="247">
        <f t="shared" si="9"/>
        <v>2025</v>
      </c>
      <c r="F18" s="247">
        <f t="shared" si="9"/>
        <v>2026</v>
      </c>
      <c r="G18" s="247">
        <f t="shared" si="9"/>
        <v>2027</v>
      </c>
      <c r="H18" s="247">
        <f t="shared" si="9"/>
        <v>2028</v>
      </c>
      <c r="I18" s="247">
        <f t="shared" si="9"/>
        <v>2029</v>
      </c>
      <c r="J18" s="247">
        <f t="shared" si="9"/>
        <v>2030</v>
      </c>
      <c r="K18" s="289"/>
      <c r="L18" s="289"/>
      <c r="M18" s="289"/>
      <c r="N18" s="196"/>
      <c r="O18" s="196"/>
    </row>
    <row r="19" spans="1:15" x14ac:dyDescent="0.25">
      <c r="B19" s="4" t="str">
        <f>BalSheet!B16</f>
        <v>Inventories</v>
      </c>
      <c r="D19" s="94"/>
      <c r="E19" s="95">
        <f>BalSheet!E16</f>
        <v>7489</v>
      </c>
      <c r="F19" s="328">
        <f>BalSheet!F16</f>
        <v>7515.2749548252732</v>
      </c>
      <c r="G19" s="328">
        <f>BalSheet!G16</f>
        <v>7977.9336645543599</v>
      </c>
      <c r="H19" s="328">
        <f>BalSheet!H16</f>
        <v>8504.714854277403</v>
      </c>
      <c r="I19" s="328">
        <f>BalSheet!I16</f>
        <v>9106.789550130874</v>
      </c>
      <c r="J19" s="328">
        <f>BalSheet!J16</f>
        <v>9799.5296011629216</v>
      </c>
      <c r="K19" s="299"/>
      <c r="L19" s="299"/>
      <c r="M19" s="299"/>
      <c r="N19" s="94"/>
      <c r="O19" s="94"/>
    </row>
    <row r="20" spans="1:15" x14ac:dyDescent="0.25">
      <c r="B20" s="4" t="str">
        <f>BalSheet!B15</f>
        <v>Accounts receivable</v>
      </c>
      <c r="C20" s="94"/>
      <c r="D20" s="94"/>
      <c r="E20" s="95">
        <f>BalSheet!E15</f>
        <v>4717</v>
      </c>
      <c r="F20" s="328">
        <f>BalSheet!F15</f>
        <v>4989.7753301173761</v>
      </c>
      <c r="G20" s="328">
        <f>BalSheet!G15</f>
        <v>5296.9581051917457</v>
      </c>
      <c r="H20" s="328">
        <f>BalSheet!H15</f>
        <v>5646.7150735861305</v>
      </c>
      <c r="I20" s="328">
        <f>BalSheet!I15</f>
        <v>6046.463250774068</v>
      </c>
      <c r="J20" s="328">
        <f>BalSheet!J15</f>
        <v>6506.4087933659066</v>
      </c>
      <c r="K20" s="299"/>
      <c r="L20" s="299"/>
      <c r="M20" s="299"/>
      <c r="N20" s="94"/>
      <c r="O20" s="94"/>
    </row>
    <row r="21" spans="1:15" x14ac:dyDescent="0.25">
      <c r="B21" s="4" t="s">
        <v>72</v>
      </c>
      <c r="C21" s="94"/>
      <c r="D21" s="94"/>
      <c r="E21" s="95">
        <f>BalSheet!E17</f>
        <v>2005</v>
      </c>
      <c r="F21" s="328">
        <f>BalSheet!F17</f>
        <v>2120.9454180380203</v>
      </c>
      <c r="G21" s="328">
        <f>BalSheet!G17</f>
        <v>2251.5160061287793</v>
      </c>
      <c r="H21" s="328">
        <f>BalSheet!H17</f>
        <v>2400.1831084460869</v>
      </c>
      <c r="I21" s="328">
        <f>BalSheet!I17</f>
        <v>2570.0993889764695</v>
      </c>
      <c r="J21" s="328">
        <f>BalSheet!J17</f>
        <v>2765.603059295875</v>
      </c>
      <c r="K21" s="299"/>
      <c r="L21" s="299"/>
      <c r="M21" s="299"/>
      <c r="N21" s="94"/>
      <c r="O21" s="94"/>
    </row>
    <row r="22" spans="1:15" x14ac:dyDescent="0.25">
      <c r="B22" s="4" t="s">
        <v>161</v>
      </c>
      <c r="C22" s="94"/>
      <c r="D22" s="94"/>
      <c r="E22" s="95">
        <f>BalSheet!E28</f>
        <v>4153</v>
      </c>
      <c r="F22" s="328">
        <f>BalSheet!F28</f>
        <v>4485.2193232838354</v>
      </c>
      <c r="G22" s="328">
        <f>BalSheet!G28</f>
        <v>4761.3403963564988</v>
      </c>
      <c r="H22" s="328">
        <f>BalSheet!H28</f>
        <v>5075.7306462795877</v>
      </c>
      <c r="I22" s="328">
        <f>BalSheet!I28</f>
        <v>5435.0570948971954</v>
      </c>
      <c r="J22" s="328">
        <f>BalSheet!J28</f>
        <v>5848.4938728698535</v>
      </c>
      <c r="K22" s="299"/>
      <c r="L22" s="299"/>
      <c r="M22" s="299"/>
      <c r="N22" s="94"/>
      <c r="O22" s="94"/>
    </row>
    <row r="23" spans="1:15" x14ac:dyDescent="0.25">
      <c r="B23" s="4" t="s">
        <v>78</v>
      </c>
      <c r="C23" s="94"/>
      <c r="D23" s="94"/>
      <c r="E23" s="95">
        <f>BalSheet!E29</f>
        <v>6413</v>
      </c>
      <c r="F23" s="328">
        <f>BalSheet!F29</f>
        <v>6783.8518533056476</v>
      </c>
      <c r="G23" s="328">
        <f>BalSheet!G29</f>
        <v>7201.4823677325994</v>
      </c>
      <c r="H23" s="328">
        <f>BalSheet!H29</f>
        <v>7676.9946506058632</v>
      </c>
      <c r="I23" s="328">
        <f>BalSheet!I29</f>
        <v>8220.4725094793521</v>
      </c>
      <c r="J23" s="328">
        <f>BalSheet!J29</f>
        <v>8845.7917303064587</v>
      </c>
      <c r="K23" s="299"/>
      <c r="L23" s="299"/>
      <c r="M23" s="299"/>
      <c r="N23" s="94"/>
      <c r="O23" s="94"/>
    </row>
    <row r="24" spans="1:15" x14ac:dyDescent="0.25">
      <c r="A24" s="11" t="s">
        <v>125</v>
      </c>
      <c r="B24" s="18" t="s">
        <v>24</v>
      </c>
      <c r="C24" s="19"/>
      <c r="D24" s="19"/>
      <c r="E24" s="19">
        <f>SUM(E19:E21)-SUM(E22:E23)</f>
        <v>3645</v>
      </c>
      <c r="F24" s="19">
        <f>SUM(F19:F21)-SUM(F22:F23)</f>
        <v>3356.9245263911853</v>
      </c>
      <c r="G24" s="19">
        <f t="shared" ref="G24:J24" si="10">SUM(G19:G21)-SUM(G22:G23)</f>
        <v>3563.5850117857863</v>
      </c>
      <c r="H24" s="19">
        <f t="shared" si="10"/>
        <v>3798.8877394241681</v>
      </c>
      <c r="I24" s="19">
        <f t="shared" si="10"/>
        <v>4067.8225855048622</v>
      </c>
      <c r="J24" s="20">
        <f t="shared" si="10"/>
        <v>4377.2558506483911</v>
      </c>
      <c r="K24" s="300"/>
      <c r="L24" s="300"/>
      <c r="M24" s="300"/>
      <c r="N24" s="11"/>
      <c r="O24" s="11"/>
    </row>
    <row r="25" spans="1:15" s="11" customFormat="1" x14ac:dyDescent="0.25">
      <c r="A25" s="26"/>
      <c r="B25" s="11" t="s">
        <v>151</v>
      </c>
      <c r="F25" s="11">
        <f>E24-F24</f>
        <v>288.07547360881472</v>
      </c>
      <c r="G25" s="11">
        <f t="shared" ref="G25:J25" si="11">F24-G24</f>
        <v>-206.66048539460098</v>
      </c>
      <c r="H25" s="11">
        <f t="shared" si="11"/>
        <v>-235.30272763838184</v>
      </c>
      <c r="I25" s="11">
        <f t="shared" si="11"/>
        <v>-268.93484608069411</v>
      </c>
      <c r="J25" s="248">
        <f t="shared" si="11"/>
        <v>-309.43326514352884</v>
      </c>
      <c r="K25" s="300"/>
      <c r="L25" s="300"/>
      <c r="M25" s="300"/>
    </row>
    <row r="26" spans="1:15" x14ac:dyDescent="0.25">
      <c r="B26" s="63"/>
      <c r="C26" s="63"/>
      <c r="D26" s="63"/>
      <c r="E26" s="63"/>
      <c r="F26" s="63"/>
      <c r="G26" s="63"/>
      <c r="H26" s="80"/>
      <c r="I26" s="63"/>
      <c r="J26" s="63"/>
    </row>
    <row r="27" spans="1:15" x14ac:dyDescent="0.25">
      <c r="H27" s="6"/>
      <c r="I27" s="4"/>
      <c r="J27" s="4"/>
    </row>
    <row r="28" spans="1:15" x14ac:dyDescent="0.25">
      <c r="H28" s="6"/>
      <c r="I28" s="4"/>
      <c r="J28" s="4"/>
    </row>
    <row r="29" spans="1:15" x14ac:dyDescent="0.25">
      <c r="H29" s="6"/>
      <c r="I29" s="4"/>
      <c r="J29" s="4"/>
    </row>
    <row r="30" spans="1:15" x14ac:dyDescent="0.25">
      <c r="H30" s="6"/>
      <c r="I30" s="4"/>
      <c r="J30" s="4"/>
    </row>
    <row r="31" spans="1:15" x14ac:dyDescent="0.25">
      <c r="H31" s="6"/>
      <c r="I31" s="4"/>
      <c r="J31" s="4"/>
    </row>
    <row r="32" spans="1:15" x14ac:dyDescent="0.25">
      <c r="H32" s="6"/>
      <c r="I32" s="4"/>
      <c r="J32" s="4"/>
    </row>
    <row r="33" spans="8:10" x14ac:dyDescent="0.25">
      <c r="H33" s="6"/>
      <c r="I33" s="4"/>
      <c r="J33" s="4"/>
    </row>
    <row r="34" spans="8:10" x14ac:dyDescent="0.25">
      <c r="H34" s="6"/>
      <c r="I34" s="4"/>
      <c r="J34" s="4"/>
    </row>
    <row r="35" spans="8:10" x14ac:dyDescent="0.25">
      <c r="H35" s="6"/>
      <c r="I35" s="4"/>
      <c r="J35" s="4"/>
    </row>
    <row r="36" spans="8:10" x14ac:dyDescent="0.25">
      <c r="H36" s="6"/>
      <c r="I36" s="4"/>
      <c r="J36" s="4"/>
    </row>
    <row r="37" spans="8:10" x14ac:dyDescent="0.25">
      <c r="H37" s="6"/>
      <c r="I37" s="4"/>
      <c r="J37" s="4"/>
    </row>
    <row r="38" spans="8:10" x14ac:dyDescent="0.25">
      <c r="H38" s="6"/>
      <c r="I38" s="4"/>
      <c r="J38" s="4"/>
    </row>
    <row r="39" spans="8:10" x14ac:dyDescent="0.25">
      <c r="H39" s="6"/>
      <c r="I39" s="4"/>
      <c r="J39" s="4"/>
    </row>
  </sheetData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&amp;L&amp;8&amp;F &amp;A</oddHeader>
    <oddFooter>&amp;R&amp;8&amp;P of &amp;N&amp;L&amp;8© AMT Training 2008 - 2017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pageSetUpPr autoPageBreaks="0" fitToPage="1"/>
  </sheetPr>
  <dimension ref="A1:P34"/>
  <sheetViews>
    <sheetView showGridLines="0" zoomScaleNormal="100" workbookViewId="0">
      <selection activeCell="F16" sqref="F16"/>
    </sheetView>
  </sheetViews>
  <sheetFormatPr defaultColWidth="8.85546875" defaultRowHeight="15" x14ac:dyDescent="0.25"/>
  <cols>
    <col min="1" max="1" width="1.7109375" style="11" customWidth="1"/>
    <col min="2" max="2" width="40.7109375" style="4" customWidth="1"/>
    <col min="3" max="8" width="11.7109375" style="4" customWidth="1"/>
    <col min="9" max="10" width="11.7109375" style="6" customWidth="1"/>
    <col min="11" max="13" width="11.7109375" style="292" customWidth="1"/>
    <col min="14" max="15" width="11.42578125" style="4" customWidth="1"/>
    <col min="16" max="256" width="8.85546875" style="4"/>
    <col min="257" max="257" width="1.7109375" style="4" customWidth="1"/>
    <col min="258" max="258" width="40.7109375" style="4" customWidth="1"/>
    <col min="259" max="264" width="10.7109375" style="4" customWidth="1"/>
    <col min="265" max="266" width="9.42578125" style="4" bestFit="1" customWidth="1"/>
    <col min="267" max="512" width="8.85546875" style="4"/>
    <col min="513" max="513" width="1.7109375" style="4" customWidth="1"/>
    <col min="514" max="514" width="40.7109375" style="4" customWidth="1"/>
    <col min="515" max="520" width="10.7109375" style="4" customWidth="1"/>
    <col min="521" max="522" width="9.42578125" style="4" bestFit="1" customWidth="1"/>
    <col min="523" max="768" width="8.85546875" style="4"/>
    <col min="769" max="769" width="1.7109375" style="4" customWidth="1"/>
    <col min="770" max="770" width="40.7109375" style="4" customWidth="1"/>
    <col min="771" max="776" width="10.7109375" style="4" customWidth="1"/>
    <col min="777" max="778" width="9.42578125" style="4" bestFit="1" customWidth="1"/>
    <col min="779" max="1024" width="8.85546875" style="4"/>
    <col min="1025" max="1025" width="1.7109375" style="4" customWidth="1"/>
    <col min="1026" max="1026" width="40.7109375" style="4" customWidth="1"/>
    <col min="1027" max="1032" width="10.7109375" style="4" customWidth="1"/>
    <col min="1033" max="1034" width="9.42578125" style="4" bestFit="1" customWidth="1"/>
    <col min="1035" max="1280" width="8.85546875" style="4"/>
    <col min="1281" max="1281" width="1.7109375" style="4" customWidth="1"/>
    <col min="1282" max="1282" width="40.7109375" style="4" customWidth="1"/>
    <col min="1283" max="1288" width="10.7109375" style="4" customWidth="1"/>
    <col min="1289" max="1290" width="9.42578125" style="4" bestFit="1" customWidth="1"/>
    <col min="1291" max="1536" width="8.85546875" style="4"/>
    <col min="1537" max="1537" width="1.7109375" style="4" customWidth="1"/>
    <col min="1538" max="1538" width="40.7109375" style="4" customWidth="1"/>
    <col min="1539" max="1544" width="10.7109375" style="4" customWidth="1"/>
    <col min="1545" max="1546" width="9.42578125" style="4" bestFit="1" customWidth="1"/>
    <col min="1547" max="1792" width="8.85546875" style="4"/>
    <col min="1793" max="1793" width="1.7109375" style="4" customWidth="1"/>
    <col min="1794" max="1794" width="40.7109375" style="4" customWidth="1"/>
    <col min="1795" max="1800" width="10.7109375" style="4" customWidth="1"/>
    <col min="1801" max="1802" width="9.42578125" style="4" bestFit="1" customWidth="1"/>
    <col min="1803" max="2048" width="8.85546875" style="4"/>
    <col min="2049" max="2049" width="1.7109375" style="4" customWidth="1"/>
    <col min="2050" max="2050" width="40.7109375" style="4" customWidth="1"/>
    <col min="2051" max="2056" width="10.7109375" style="4" customWidth="1"/>
    <col min="2057" max="2058" width="9.42578125" style="4" bestFit="1" customWidth="1"/>
    <col min="2059" max="2304" width="8.85546875" style="4"/>
    <col min="2305" max="2305" width="1.7109375" style="4" customWidth="1"/>
    <col min="2306" max="2306" width="40.7109375" style="4" customWidth="1"/>
    <col min="2307" max="2312" width="10.7109375" style="4" customWidth="1"/>
    <col min="2313" max="2314" width="9.42578125" style="4" bestFit="1" customWidth="1"/>
    <col min="2315" max="2560" width="8.85546875" style="4"/>
    <col min="2561" max="2561" width="1.7109375" style="4" customWidth="1"/>
    <col min="2562" max="2562" width="40.7109375" style="4" customWidth="1"/>
    <col min="2563" max="2568" width="10.7109375" style="4" customWidth="1"/>
    <col min="2569" max="2570" width="9.42578125" style="4" bestFit="1" customWidth="1"/>
    <col min="2571" max="2816" width="8.85546875" style="4"/>
    <col min="2817" max="2817" width="1.7109375" style="4" customWidth="1"/>
    <col min="2818" max="2818" width="40.7109375" style="4" customWidth="1"/>
    <col min="2819" max="2824" width="10.7109375" style="4" customWidth="1"/>
    <col min="2825" max="2826" width="9.42578125" style="4" bestFit="1" customWidth="1"/>
    <col min="2827" max="3072" width="8.85546875" style="4"/>
    <col min="3073" max="3073" width="1.7109375" style="4" customWidth="1"/>
    <col min="3074" max="3074" width="40.7109375" style="4" customWidth="1"/>
    <col min="3075" max="3080" width="10.7109375" style="4" customWidth="1"/>
    <col min="3081" max="3082" width="9.42578125" style="4" bestFit="1" customWidth="1"/>
    <col min="3083" max="3328" width="8.85546875" style="4"/>
    <col min="3329" max="3329" width="1.7109375" style="4" customWidth="1"/>
    <col min="3330" max="3330" width="40.7109375" style="4" customWidth="1"/>
    <col min="3331" max="3336" width="10.7109375" style="4" customWidth="1"/>
    <col min="3337" max="3338" width="9.42578125" style="4" bestFit="1" customWidth="1"/>
    <col min="3339" max="3584" width="8.85546875" style="4"/>
    <col min="3585" max="3585" width="1.7109375" style="4" customWidth="1"/>
    <col min="3586" max="3586" width="40.7109375" style="4" customWidth="1"/>
    <col min="3587" max="3592" width="10.7109375" style="4" customWidth="1"/>
    <col min="3593" max="3594" width="9.42578125" style="4" bestFit="1" customWidth="1"/>
    <col min="3595" max="3840" width="8.85546875" style="4"/>
    <col min="3841" max="3841" width="1.7109375" style="4" customWidth="1"/>
    <col min="3842" max="3842" width="40.7109375" style="4" customWidth="1"/>
    <col min="3843" max="3848" width="10.7109375" style="4" customWidth="1"/>
    <col min="3849" max="3850" width="9.42578125" style="4" bestFit="1" customWidth="1"/>
    <col min="3851" max="4096" width="8.85546875" style="4"/>
    <col min="4097" max="4097" width="1.7109375" style="4" customWidth="1"/>
    <col min="4098" max="4098" width="40.7109375" style="4" customWidth="1"/>
    <col min="4099" max="4104" width="10.7109375" style="4" customWidth="1"/>
    <col min="4105" max="4106" width="9.42578125" style="4" bestFit="1" customWidth="1"/>
    <col min="4107" max="4352" width="8.85546875" style="4"/>
    <col min="4353" max="4353" width="1.7109375" style="4" customWidth="1"/>
    <col min="4354" max="4354" width="40.7109375" style="4" customWidth="1"/>
    <col min="4355" max="4360" width="10.7109375" style="4" customWidth="1"/>
    <col min="4361" max="4362" width="9.42578125" style="4" bestFit="1" customWidth="1"/>
    <col min="4363" max="4608" width="8.85546875" style="4"/>
    <col min="4609" max="4609" width="1.7109375" style="4" customWidth="1"/>
    <col min="4610" max="4610" width="40.7109375" style="4" customWidth="1"/>
    <col min="4611" max="4616" width="10.7109375" style="4" customWidth="1"/>
    <col min="4617" max="4618" width="9.42578125" style="4" bestFit="1" customWidth="1"/>
    <col min="4619" max="4864" width="8.85546875" style="4"/>
    <col min="4865" max="4865" width="1.7109375" style="4" customWidth="1"/>
    <col min="4866" max="4866" width="40.7109375" style="4" customWidth="1"/>
    <col min="4867" max="4872" width="10.7109375" style="4" customWidth="1"/>
    <col min="4873" max="4874" width="9.42578125" style="4" bestFit="1" customWidth="1"/>
    <col min="4875" max="5120" width="8.85546875" style="4"/>
    <col min="5121" max="5121" width="1.7109375" style="4" customWidth="1"/>
    <col min="5122" max="5122" width="40.7109375" style="4" customWidth="1"/>
    <col min="5123" max="5128" width="10.7109375" style="4" customWidth="1"/>
    <col min="5129" max="5130" width="9.42578125" style="4" bestFit="1" customWidth="1"/>
    <col min="5131" max="5376" width="8.85546875" style="4"/>
    <col min="5377" max="5377" width="1.7109375" style="4" customWidth="1"/>
    <col min="5378" max="5378" width="40.7109375" style="4" customWidth="1"/>
    <col min="5379" max="5384" width="10.7109375" style="4" customWidth="1"/>
    <col min="5385" max="5386" width="9.42578125" style="4" bestFit="1" customWidth="1"/>
    <col min="5387" max="5632" width="8.85546875" style="4"/>
    <col min="5633" max="5633" width="1.7109375" style="4" customWidth="1"/>
    <col min="5634" max="5634" width="40.7109375" style="4" customWidth="1"/>
    <col min="5635" max="5640" width="10.7109375" style="4" customWidth="1"/>
    <col min="5641" max="5642" width="9.42578125" style="4" bestFit="1" customWidth="1"/>
    <col min="5643" max="5888" width="8.85546875" style="4"/>
    <col min="5889" max="5889" width="1.7109375" style="4" customWidth="1"/>
    <col min="5890" max="5890" width="40.7109375" style="4" customWidth="1"/>
    <col min="5891" max="5896" width="10.7109375" style="4" customWidth="1"/>
    <col min="5897" max="5898" width="9.42578125" style="4" bestFit="1" customWidth="1"/>
    <col min="5899" max="6144" width="8.85546875" style="4"/>
    <col min="6145" max="6145" width="1.7109375" style="4" customWidth="1"/>
    <col min="6146" max="6146" width="40.7109375" style="4" customWidth="1"/>
    <col min="6147" max="6152" width="10.7109375" style="4" customWidth="1"/>
    <col min="6153" max="6154" width="9.42578125" style="4" bestFit="1" customWidth="1"/>
    <col min="6155" max="6400" width="8.85546875" style="4"/>
    <col min="6401" max="6401" width="1.7109375" style="4" customWidth="1"/>
    <col min="6402" max="6402" width="40.7109375" style="4" customWidth="1"/>
    <col min="6403" max="6408" width="10.7109375" style="4" customWidth="1"/>
    <col min="6409" max="6410" width="9.42578125" style="4" bestFit="1" customWidth="1"/>
    <col min="6411" max="6656" width="8.85546875" style="4"/>
    <col min="6657" max="6657" width="1.7109375" style="4" customWidth="1"/>
    <col min="6658" max="6658" width="40.7109375" style="4" customWidth="1"/>
    <col min="6659" max="6664" width="10.7109375" style="4" customWidth="1"/>
    <col min="6665" max="6666" width="9.42578125" style="4" bestFit="1" customWidth="1"/>
    <col min="6667" max="6912" width="8.85546875" style="4"/>
    <col min="6913" max="6913" width="1.7109375" style="4" customWidth="1"/>
    <col min="6914" max="6914" width="40.7109375" style="4" customWidth="1"/>
    <col min="6915" max="6920" width="10.7109375" style="4" customWidth="1"/>
    <col min="6921" max="6922" width="9.42578125" style="4" bestFit="1" customWidth="1"/>
    <col min="6923" max="7168" width="8.85546875" style="4"/>
    <col min="7169" max="7169" width="1.7109375" style="4" customWidth="1"/>
    <col min="7170" max="7170" width="40.7109375" style="4" customWidth="1"/>
    <col min="7171" max="7176" width="10.7109375" style="4" customWidth="1"/>
    <col min="7177" max="7178" width="9.42578125" style="4" bestFit="1" customWidth="1"/>
    <col min="7179" max="7424" width="8.85546875" style="4"/>
    <col min="7425" max="7425" width="1.7109375" style="4" customWidth="1"/>
    <col min="7426" max="7426" width="40.7109375" style="4" customWidth="1"/>
    <col min="7427" max="7432" width="10.7109375" style="4" customWidth="1"/>
    <col min="7433" max="7434" width="9.42578125" style="4" bestFit="1" customWidth="1"/>
    <col min="7435" max="7680" width="8.85546875" style="4"/>
    <col min="7681" max="7681" width="1.7109375" style="4" customWidth="1"/>
    <col min="7682" max="7682" width="40.7109375" style="4" customWidth="1"/>
    <col min="7683" max="7688" width="10.7109375" style="4" customWidth="1"/>
    <col min="7689" max="7690" width="9.42578125" style="4" bestFit="1" customWidth="1"/>
    <col min="7691" max="7936" width="8.85546875" style="4"/>
    <col min="7937" max="7937" width="1.7109375" style="4" customWidth="1"/>
    <col min="7938" max="7938" width="40.7109375" style="4" customWidth="1"/>
    <col min="7939" max="7944" width="10.7109375" style="4" customWidth="1"/>
    <col min="7945" max="7946" width="9.42578125" style="4" bestFit="1" customWidth="1"/>
    <col min="7947" max="8192" width="8.85546875" style="4"/>
    <col min="8193" max="8193" width="1.7109375" style="4" customWidth="1"/>
    <col min="8194" max="8194" width="40.7109375" style="4" customWidth="1"/>
    <col min="8195" max="8200" width="10.7109375" style="4" customWidth="1"/>
    <col min="8201" max="8202" width="9.42578125" style="4" bestFit="1" customWidth="1"/>
    <col min="8203" max="8448" width="8.85546875" style="4"/>
    <col min="8449" max="8449" width="1.7109375" style="4" customWidth="1"/>
    <col min="8450" max="8450" width="40.7109375" style="4" customWidth="1"/>
    <col min="8451" max="8456" width="10.7109375" style="4" customWidth="1"/>
    <col min="8457" max="8458" width="9.42578125" style="4" bestFit="1" customWidth="1"/>
    <col min="8459" max="8704" width="8.85546875" style="4"/>
    <col min="8705" max="8705" width="1.7109375" style="4" customWidth="1"/>
    <col min="8706" max="8706" width="40.7109375" style="4" customWidth="1"/>
    <col min="8707" max="8712" width="10.7109375" style="4" customWidth="1"/>
    <col min="8713" max="8714" width="9.42578125" style="4" bestFit="1" customWidth="1"/>
    <col min="8715" max="8960" width="8.85546875" style="4"/>
    <col min="8961" max="8961" width="1.7109375" style="4" customWidth="1"/>
    <col min="8962" max="8962" width="40.7109375" style="4" customWidth="1"/>
    <col min="8963" max="8968" width="10.7109375" style="4" customWidth="1"/>
    <col min="8969" max="8970" width="9.42578125" style="4" bestFit="1" customWidth="1"/>
    <col min="8971" max="9216" width="8.85546875" style="4"/>
    <col min="9217" max="9217" width="1.7109375" style="4" customWidth="1"/>
    <col min="9218" max="9218" width="40.7109375" style="4" customWidth="1"/>
    <col min="9219" max="9224" width="10.7109375" style="4" customWidth="1"/>
    <col min="9225" max="9226" width="9.42578125" style="4" bestFit="1" customWidth="1"/>
    <col min="9227" max="9472" width="8.85546875" style="4"/>
    <col min="9473" max="9473" width="1.7109375" style="4" customWidth="1"/>
    <col min="9474" max="9474" width="40.7109375" style="4" customWidth="1"/>
    <col min="9475" max="9480" width="10.7109375" style="4" customWidth="1"/>
    <col min="9481" max="9482" width="9.42578125" style="4" bestFit="1" customWidth="1"/>
    <col min="9483" max="9728" width="8.85546875" style="4"/>
    <col min="9729" max="9729" width="1.7109375" style="4" customWidth="1"/>
    <col min="9730" max="9730" width="40.7109375" style="4" customWidth="1"/>
    <col min="9731" max="9736" width="10.7109375" style="4" customWidth="1"/>
    <col min="9737" max="9738" width="9.42578125" style="4" bestFit="1" customWidth="1"/>
    <col min="9739" max="9984" width="8.85546875" style="4"/>
    <col min="9985" max="9985" width="1.7109375" style="4" customWidth="1"/>
    <col min="9986" max="9986" width="40.7109375" style="4" customWidth="1"/>
    <col min="9987" max="9992" width="10.7109375" style="4" customWidth="1"/>
    <col min="9993" max="9994" width="9.42578125" style="4" bestFit="1" customWidth="1"/>
    <col min="9995" max="10240" width="8.85546875" style="4"/>
    <col min="10241" max="10241" width="1.7109375" style="4" customWidth="1"/>
    <col min="10242" max="10242" width="40.7109375" style="4" customWidth="1"/>
    <col min="10243" max="10248" width="10.7109375" style="4" customWidth="1"/>
    <col min="10249" max="10250" width="9.42578125" style="4" bestFit="1" customWidth="1"/>
    <col min="10251" max="10496" width="8.85546875" style="4"/>
    <col min="10497" max="10497" width="1.7109375" style="4" customWidth="1"/>
    <col min="10498" max="10498" width="40.7109375" style="4" customWidth="1"/>
    <col min="10499" max="10504" width="10.7109375" style="4" customWidth="1"/>
    <col min="10505" max="10506" width="9.42578125" style="4" bestFit="1" customWidth="1"/>
    <col min="10507" max="10752" width="8.85546875" style="4"/>
    <col min="10753" max="10753" width="1.7109375" style="4" customWidth="1"/>
    <col min="10754" max="10754" width="40.7109375" style="4" customWidth="1"/>
    <col min="10755" max="10760" width="10.7109375" style="4" customWidth="1"/>
    <col min="10761" max="10762" width="9.42578125" style="4" bestFit="1" customWidth="1"/>
    <col min="10763" max="11008" width="8.85546875" style="4"/>
    <col min="11009" max="11009" width="1.7109375" style="4" customWidth="1"/>
    <col min="11010" max="11010" width="40.7109375" style="4" customWidth="1"/>
    <col min="11011" max="11016" width="10.7109375" style="4" customWidth="1"/>
    <col min="11017" max="11018" width="9.42578125" style="4" bestFit="1" customWidth="1"/>
    <col min="11019" max="11264" width="8.85546875" style="4"/>
    <col min="11265" max="11265" width="1.7109375" style="4" customWidth="1"/>
    <col min="11266" max="11266" width="40.7109375" style="4" customWidth="1"/>
    <col min="11267" max="11272" width="10.7109375" style="4" customWidth="1"/>
    <col min="11273" max="11274" width="9.42578125" style="4" bestFit="1" customWidth="1"/>
    <col min="11275" max="11520" width="8.85546875" style="4"/>
    <col min="11521" max="11521" width="1.7109375" style="4" customWidth="1"/>
    <col min="11522" max="11522" width="40.7109375" style="4" customWidth="1"/>
    <col min="11523" max="11528" width="10.7109375" style="4" customWidth="1"/>
    <col min="11529" max="11530" width="9.42578125" style="4" bestFit="1" customWidth="1"/>
    <col min="11531" max="11776" width="8.85546875" style="4"/>
    <col min="11777" max="11777" width="1.7109375" style="4" customWidth="1"/>
    <col min="11778" max="11778" width="40.7109375" style="4" customWidth="1"/>
    <col min="11779" max="11784" width="10.7109375" style="4" customWidth="1"/>
    <col min="11785" max="11786" width="9.42578125" style="4" bestFit="1" customWidth="1"/>
    <col min="11787" max="12032" width="8.85546875" style="4"/>
    <col min="12033" max="12033" width="1.7109375" style="4" customWidth="1"/>
    <col min="12034" max="12034" width="40.7109375" style="4" customWidth="1"/>
    <col min="12035" max="12040" width="10.7109375" style="4" customWidth="1"/>
    <col min="12041" max="12042" width="9.42578125" style="4" bestFit="1" customWidth="1"/>
    <col min="12043" max="12288" width="8.85546875" style="4"/>
    <col min="12289" max="12289" width="1.7109375" style="4" customWidth="1"/>
    <col min="12290" max="12290" width="40.7109375" style="4" customWidth="1"/>
    <col min="12291" max="12296" width="10.7109375" style="4" customWidth="1"/>
    <col min="12297" max="12298" width="9.42578125" style="4" bestFit="1" customWidth="1"/>
    <col min="12299" max="12544" width="8.85546875" style="4"/>
    <col min="12545" max="12545" width="1.7109375" style="4" customWidth="1"/>
    <col min="12546" max="12546" width="40.7109375" style="4" customWidth="1"/>
    <col min="12547" max="12552" width="10.7109375" style="4" customWidth="1"/>
    <col min="12553" max="12554" width="9.42578125" style="4" bestFit="1" customWidth="1"/>
    <col min="12555" max="12800" width="8.85546875" style="4"/>
    <col min="12801" max="12801" width="1.7109375" style="4" customWidth="1"/>
    <col min="12802" max="12802" width="40.7109375" style="4" customWidth="1"/>
    <col min="12803" max="12808" width="10.7109375" style="4" customWidth="1"/>
    <col min="12809" max="12810" width="9.42578125" style="4" bestFit="1" customWidth="1"/>
    <col min="12811" max="13056" width="8.85546875" style="4"/>
    <col min="13057" max="13057" width="1.7109375" style="4" customWidth="1"/>
    <col min="13058" max="13058" width="40.7109375" style="4" customWidth="1"/>
    <col min="13059" max="13064" width="10.7109375" style="4" customWidth="1"/>
    <col min="13065" max="13066" width="9.42578125" style="4" bestFit="1" customWidth="1"/>
    <col min="13067" max="13312" width="8.85546875" style="4"/>
    <col min="13313" max="13313" width="1.7109375" style="4" customWidth="1"/>
    <col min="13314" max="13314" width="40.7109375" style="4" customWidth="1"/>
    <col min="13315" max="13320" width="10.7109375" style="4" customWidth="1"/>
    <col min="13321" max="13322" width="9.42578125" style="4" bestFit="1" customWidth="1"/>
    <col min="13323" max="13568" width="8.85546875" style="4"/>
    <col min="13569" max="13569" width="1.7109375" style="4" customWidth="1"/>
    <col min="13570" max="13570" width="40.7109375" style="4" customWidth="1"/>
    <col min="13571" max="13576" width="10.7109375" style="4" customWidth="1"/>
    <col min="13577" max="13578" width="9.42578125" style="4" bestFit="1" customWidth="1"/>
    <col min="13579" max="13824" width="8.85546875" style="4"/>
    <col min="13825" max="13825" width="1.7109375" style="4" customWidth="1"/>
    <col min="13826" max="13826" width="40.7109375" style="4" customWidth="1"/>
    <col min="13827" max="13832" width="10.7109375" style="4" customWidth="1"/>
    <col min="13833" max="13834" width="9.42578125" style="4" bestFit="1" customWidth="1"/>
    <col min="13835" max="14080" width="8.85546875" style="4"/>
    <col min="14081" max="14081" width="1.7109375" style="4" customWidth="1"/>
    <col min="14082" max="14082" width="40.7109375" style="4" customWidth="1"/>
    <col min="14083" max="14088" width="10.7109375" style="4" customWidth="1"/>
    <col min="14089" max="14090" width="9.42578125" style="4" bestFit="1" customWidth="1"/>
    <col min="14091" max="14336" width="8.85546875" style="4"/>
    <col min="14337" max="14337" width="1.7109375" style="4" customWidth="1"/>
    <col min="14338" max="14338" width="40.7109375" style="4" customWidth="1"/>
    <col min="14339" max="14344" width="10.7109375" style="4" customWidth="1"/>
    <col min="14345" max="14346" width="9.42578125" style="4" bestFit="1" customWidth="1"/>
    <col min="14347" max="14592" width="8.85546875" style="4"/>
    <col min="14593" max="14593" width="1.7109375" style="4" customWidth="1"/>
    <col min="14594" max="14594" width="40.7109375" style="4" customWidth="1"/>
    <col min="14595" max="14600" width="10.7109375" style="4" customWidth="1"/>
    <col min="14601" max="14602" width="9.42578125" style="4" bestFit="1" customWidth="1"/>
    <col min="14603" max="14848" width="8.85546875" style="4"/>
    <col min="14849" max="14849" width="1.7109375" style="4" customWidth="1"/>
    <col min="14850" max="14850" width="40.7109375" style="4" customWidth="1"/>
    <col min="14851" max="14856" width="10.7109375" style="4" customWidth="1"/>
    <col min="14857" max="14858" width="9.42578125" style="4" bestFit="1" customWidth="1"/>
    <col min="14859" max="15104" width="8.85546875" style="4"/>
    <col min="15105" max="15105" width="1.7109375" style="4" customWidth="1"/>
    <col min="15106" max="15106" width="40.7109375" style="4" customWidth="1"/>
    <col min="15107" max="15112" width="10.7109375" style="4" customWidth="1"/>
    <col min="15113" max="15114" width="9.42578125" style="4" bestFit="1" customWidth="1"/>
    <col min="15115" max="15360" width="8.85546875" style="4"/>
    <col min="15361" max="15361" width="1.7109375" style="4" customWidth="1"/>
    <col min="15362" max="15362" width="40.7109375" style="4" customWidth="1"/>
    <col min="15363" max="15368" width="10.7109375" style="4" customWidth="1"/>
    <col min="15369" max="15370" width="9.42578125" style="4" bestFit="1" customWidth="1"/>
    <col min="15371" max="15616" width="8.85546875" style="4"/>
    <col min="15617" max="15617" width="1.7109375" style="4" customWidth="1"/>
    <col min="15618" max="15618" width="40.7109375" style="4" customWidth="1"/>
    <col min="15619" max="15624" width="10.7109375" style="4" customWidth="1"/>
    <col min="15625" max="15626" width="9.42578125" style="4" bestFit="1" customWidth="1"/>
    <col min="15627" max="15872" width="8.85546875" style="4"/>
    <col min="15873" max="15873" width="1.7109375" style="4" customWidth="1"/>
    <col min="15874" max="15874" width="40.7109375" style="4" customWidth="1"/>
    <col min="15875" max="15880" width="10.7109375" style="4" customWidth="1"/>
    <col min="15881" max="15882" width="9.42578125" style="4" bestFit="1" customWidth="1"/>
    <col min="15883" max="16128" width="8.85546875" style="4"/>
    <col min="16129" max="16129" width="1.7109375" style="4" customWidth="1"/>
    <col min="16130" max="16130" width="40.7109375" style="4" customWidth="1"/>
    <col min="16131" max="16136" width="10.7109375" style="4" customWidth="1"/>
    <col min="16137" max="16138" width="9.42578125" style="4" bestFit="1" customWidth="1"/>
    <col min="16139" max="16384" width="8.85546875" style="4"/>
  </cols>
  <sheetData>
    <row r="1" spans="1:16" s="2" customFormat="1" ht="19.5" x14ac:dyDescent="0.3">
      <c r="A1" s="272" t="str">
        <f>CoName</f>
        <v>Nike Inc.</v>
      </c>
      <c r="B1" s="3"/>
      <c r="C1" s="43" t="s">
        <v>0</v>
      </c>
      <c r="D1" s="43" t="s">
        <v>0</v>
      </c>
      <c r="E1" s="43" t="s">
        <v>0</v>
      </c>
      <c r="F1" s="43" t="s">
        <v>1</v>
      </c>
      <c r="G1" s="43" t="s">
        <v>1</v>
      </c>
      <c r="H1" s="43" t="s">
        <v>1</v>
      </c>
      <c r="I1" s="43" t="s">
        <v>1</v>
      </c>
      <c r="J1" s="43" t="s">
        <v>1</v>
      </c>
      <c r="K1" s="43"/>
      <c r="L1" s="43"/>
      <c r="M1" s="43"/>
      <c r="N1" s="43"/>
      <c r="O1" s="43"/>
    </row>
    <row r="2" spans="1:16" s="2" customFormat="1" x14ac:dyDescent="0.25">
      <c r="A2" s="17" t="s">
        <v>10</v>
      </c>
      <c r="B2" s="195"/>
      <c r="C2" s="282">
        <v>2023</v>
      </c>
      <c r="D2" s="282">
        <f>C2+1</f>
        <v>2024</v>
      </c>
      <c r="E2" s="282">
        <f t="shared" ref="E2:M2" si="0">D2+1</f>
        <v>2025</v>
      </c>
      <c r="F2" s="282">
        <f t="shared" si="0"/>
        <v>2026</v>
      </c>
      <c r="G2" s="282">
        <f t="shared" si="0"/>
        <v>2027</v>
      </c>
      <c r="H2" s="282">
        <f t="shared" si="0"/>
        <v>2028</v>
      </c>
      <c r="I2" s="282">
        <f t="shared" si="0"/>
        <v>2029</v>
      </c>
      <c r="J2" s="282">
        <f t="shared" si="0"/>
        <v>2030</v>
      </c>
      <c r="K2" s="289"/>
      <c r="L2" s="289"/>
      <c r="M2" s="289"/>
      <c r="N2" s="204"/>
      <c r="O2" s="204"/>
    </row>
    <row r="3" spans="1:16" s="2" customFormat="1" x14ac:dyDescent="0.25">
      <c r="A3" s="83"/>
      <c r="B3" s="11"/>
      <c r="C3" s="196"/>
      <c r="D3" s="196"/>
      <c r="E3" s="196"/>
      <c r="F3" s="196"/>
      <c r="G3" s="196"/>
      <c r="H3" s="196"/>
      <c r="I3" s="196"/>
      <c r="J3" s="196"/>
      <c r="K3" s="301"/>
      <c r="L3" s="301"/>
      <c r="M3" s="301"/>
      <c r="N3" s="204"/>
      <c r="O3" s="204"/>
    </row>
    <row r="4" spans="1:16" s="2" customFormat="1" x14ac:dyDescent="0.25">
      <c r="A4" s="11"/>
      <c r="B4" s="4" t="s">
        <v>25</v>
      </c>
      <c r="C4" s="32"/>
      <c r="D4" s="57"/>
      <c r="E4" s="59">
        <f>Assumptions!E23</f>
        <v>3.1E-2</v>
      </c>
      <c r="F4" s="203">
        <f>Assumptions!F23</f>
        <v>3.1E-2</v>
      </c>
      <c r="G4" s="203">
        <f>Assumptions!G23</f>
        <v>3.1E-2</v>
      </c>
      <c r="H4" s="203">
        <f>Assumptions!H23</f>
        <v>3.1E-2</v>
      </c>
      <c r="I4" s="203">
        <f>Assumptions!I23</f>
        <v>3.1E-2</v>
      </c>
      <c r="J4" s="203">
        <f>Assumptions!J23</f>
        <v>3.1E-2</v>
      </c>
      <c r="K4" s="293"/>
      <c r="L4" s="293"/>
      <c r="M4" s="293"/>
      <c r="N4" s="31"/>
      <c r="O4" s="31"/>
    </row>
    <row r="5" spans="1:16" s="2" customFormat="1" x14ac:dyDescent="0.25">
      <c r="A5" s="11"/>
      <c r="B5" s="4" t="s">
        <v>26</v>
      </c>
      <c r="C5" s="32"/>
      <c r="D5" s="57"/>
      <c r="E5" s="59">
        <f>Assumptions!E24</f>
        <v>3.1E-2</v>
      </c>
      <c r="F5" s="203">
        <f>Assumptions!F24</f>
        <v>3.1E-2</v>
      </c>
      <c r="G5" s="203">
        <f>Assumptions!G24</f>
        <v>3.1E-2</v>
      </c>
      <c r="H5" s="203">
        <f>Assumptions!H24</f>
        <v>3.1E-2</v>
      </c>
      <c r="I5" s="203">
        <f>Assumptions!I24</f>
        <v>3.1E-2</v>
      </c>
      <c r="J5" s="203">
        <f>Assumptions!J24</f>
        <v>3.1E-2</v>
      </c>
      <c r="K5" s="293"/>
      <c r="L5" s="293"/>
      <c r="M5" s="293"/>
      <c r="N5" s="31"/>
      <c r="O5" s="31"/>
    </row>
    <row r="6" spans="1:16" s="2" customFormat="1" x14ac:dyDescent="0.25">
      <c r="A6" s="11"/>
      <c r="B6" s="4" t="s">
        <v>27</v>
      </c>
      <c r="C6" s="32"/>
      <c r="D6" s="57"/>
      <c r="E6" s="59">
        <f>Assumptions!E25</f>
        <v>1.1692711179106108E-2</v>
      </c>
      <c r="F6" s="203">
        <f>Assumptions!F25</f>
        <v>1.1692711179106108E-2</v>
      </c>
      <c r="G6" s="203">
        <f>Assumptions!G25</f>
        <v>1.1692711179106108E-2</v>
      </c>
      <c r="H6" s="203">
        <f>Assumptions!H25</f>
        <v>1.1692711179106108E-2</v>
      </c>
      <c r="I6" s="203">
        <f>Assumptions!I25</f>
        <v>1.1692711179106108E-2</v>
      </c>
      <c r="J6" s="203">
        <f>Assumptions!J25</f>
        <v>1.1692711179106108E-2</v>
      </c>
      <c r="K6" s="293"/>
      <c r="L6" s="293"/>
      <c r="M6" s="293"/>
      <c r="N6" s="31"/>
      <c r="O6" s="31"/>
    </row>
    <row r="7" spans="1:16" s="2" customFormat="1" x14ac:dyDescent="0.25">
      <c r="A7" s="11"/>
      <c r="B7" s="4"/>
      <c r="C7" s="32"/>
      <c r="D7" s="366"/>
      <c r="E7" s="32"/>
      <c r="F7" s="105"/>
      <c r="G7" s="105"/>
      <c r="H7" s="105"/>
      <c r="I7" s="106"/>
      <c r="J7" s="106"/>
      <c r="K7" s="302"/>
      <c r="L7" s="302"/>
      <c r="M7" s="302"/>
      <c r="N7" s="205"/>
      <c r="O7" s="205"/>
    </row>
    <row r="8" spans="1:16" s="2" customFormat="1" x14ac:dyDescent="0.25">
      <c r="A8" s="11"/>
      <c r="B8" s="4" t="s">
        <v>28</v>
      </c>
      <c r="C8" s="32"/>
      <c r="D8" s="375"/>
      <c r="E8" s="376">
        <f>Assumptions!E27</f>
        <v>0</v>
      </c>
      <c r="F8" s="373">
        <f>Assumptions!F27</f>
        <v>0</v>
      </c>
      <c r="G8" s="373">
        <f>Assumptions!G27</f>
        <v>0</v>
      </c>
      <c r="H8" s="373">
        <f>Assumptions!H27</f>
        <v>0</v>
      </c>
      <c r="I8" s="373">
        <f>Assumptions!I27</f>
        <v>0</v>
      </c>
      <c r="J8" s="373">
        <f>Assumptions!J27</f>
        <v>0</v>
      </c>
      <c r="K8" s="303"/>
      <c r="L8" s="303"/>
      <c r="M8" s="303"/>
      <c r="N8" s="206"/>
      <c r="O8" s="206"/>
    </row>
    <row r="9" spans="1:16" s="2" customFormat="1" x14ac:dyDescent="0.25">
      <c r="A9" s="11"/>
      <c r="B9" s="4" t="s">
        <v>29</v>
      </c>
      <c r="C9" s="32"/>
      <c r="D9" s="375"/>
      <c r="E9" s="376">
        <f>Assumptions!E28</f>
        <v>1000</v>
      </c>
      <c r="F9" s="373">
        <f>Assumptions!F28</f>
        <v>0</v>
      </c>
      <c r="G9" s="373">
        <f>Assumptions!G28</f>
        <v>0</v>
      </c>
      <c r="H9" s="373">
        <f>Assumptions!H28</f>
        <v>0</v>
      </c>
      <c r="I9" s="373">
        <f>Assumptions!I28</f>
        <v>0</v>
      </c>
      <c r="J9" s="374">
        <f>Assumptions!J28</f>
        <v>0</v>
      </c>
      <c r="K9" s="303"/>
      <c r="L9" s="303"/>
      <c r="M9" s="303"/>
      <c r="N9" s="206"/>
      <c r="O9" s="206"/>
    </row>
    <row r="10" spans="1:16" s="2" customFormat="1" ht="18.75" x14ac:dyDescent="0.3">
      <c r="A10" s="35"/>
      <c r="B10" s="3"/>
      <c r="C10" s="55"/>
      <c r="D10" s="55"/>
      <c r="E10" s="55"/>
      <c r="F10" s="104"/>
      <c r="G10" s="104"/>
      <c r="H10" s="104"/>
      <c r="I10" s="104"/>
      <c r="J10" s="104"/>
      <c r="K10" s="55"/>
      <c r="L10" s="55"/>
      <c r="M10" s="55"/>
      <c r="N10" s="55"/>
      <c r="O10" s="55"/>
    </row>
    <row r="11" spans="1:16" x14ac:dyDescent="0.25">
      <c r="A11" s="22" t="s">
        <v>30</v>
      </c>
      <c r="B11" s="56"/>
      <c r="C11" s="271">
        <f>C2</f>
        <v>2023</v>
      </c>
      <c r="D11" s="271">
        <f t="shared" ref="D11:J11" si="1">D2</f>
        <v>2024</v>
      </c>
      <c r="E11" s="271">
        <f t="shared" si="1"/>
        <v>2025</v>
      </c>
      <c r="F11" s="271">
        <f t="shared" si="1"/>
        <v>2026</v>
      </c>
      <c r="G11" s="271">
        <f t="shared" si="1"/>
        <v>2027</v>
      </c>
      <c r="H11" s="271">
        <f t="shared" si="1"/>
        <v>2028</v>
      </c>
      <c r="I11" s="271">
        <f t="shared" si="1"/>
        <v>2029</v>
      </c>
      <c r="J11" s="271">
        <f t="shared" si="1"/>
        <v>2030</v>
      </c>
      <c r="K11" s="295"/>
      <c r="L11" s="295"/>
      <c r="M11" s="295"/>
      <c r="N11" s="207"/>
      <c r="O11" s="207"/>
      <c r="P11" s="49"/>
    </row>
    <row r="12" spans="1:16" x14ac:dyDescent="0.25">
      <c r="B12" s="4" t="s">
        <v>31</v>
      </c>
      <c r="E12" s="29"/>
      <c r="F12" s="4" t="s">
        <v>224</v>
      </c>
      <c r="I12" s="4"/>
      <c r="J12" s="4"/>
      <c r="P12" s="49"/>
    </row>
    <row r="13" spans="1:16" x14ac:dyDescent="0.25">
      <c r="B13" s="4" t="s">
        <v>32</v>
      </c>
      <c r="E13" s="30"/>
      <c r="I13" s="4"/>
      <c r="J13" s="4"/>
      <c r="P13" s="49"/>
    </row>
    <row r="14" spans="1:16" x14ac:dyDescent="0.25">
      <c r="B14" s="4" t="s">
        <v>33</v>
      </c>
      <c r="E14" s="29"/>
      <c r="I14" s="4"/>
      <c r="J14" s="4"/>
      <c r="P14" s="49"/>
    </row>
    <row r="15" spans="1:16" x14ac:dyDescent="0.25">
      <c r="E15" s="29"/>
      <c r="I15" s="4"/>
      <c r="J15" s="4"/>
      <c r="P15" s="49"/>
    </row>
    <row r="16" spans="1:16" x14ac:dyDescent="0.25">
      <c r="A16" s="279" t="s">
        <v>34</v>
      </c>
      <c r="B16" s="21"/>
      <c r="C16" s="247">
        <f t="shared" ref="C16:M16" si="2">C11</f>
        <v>2023</v>
      </c>
      <c r="D16" s="247">
        <f t="shared" si="2"/>
        <v>2024</v>
      </c>
      <c r="E16" s="247">
        <f t="shared" si="2"/>
        <v>2025</v>
      </c>
      <c r="F16" s="247">
        <f t="shared" si="2"/>
        <v>2026</v>
      </c>
      <c r="G16" s="247">
        <f t="shared" si="2"/>
        <v>2027</v>
      </c>
      <c r="H16" s="247">
        <f t="shared" si="2"/>
        <v>2028</v>
      </c>
      <c r="I16" s="247">
        <f t="shared" si="2"/>
        <v>2029</v>
      </c>
      <c r="J16" s="247">
        <f t="shared" si="2"/>
        <v>2030</v>
      </c>
      <c r="K16" s="289"/>
      <c r="L16" s="289"/>
      <c r="M16" s="289"/>
      <c r="N16" s="204"/>
      <c r="O16" s="204"/>
      <c r="P16" s="49"/>
    </row>
    <row r="17" spans="1:16" x14ac:dyDescent="0.25">
      <c r="B17" s="4" t="s">
        <v>19</v>
      </c>
      <c r="E17" s="29"/>
      <c r="F17" s="4">
        <f>E20</f>
        <v>7961</v>
      </c>
      <c r="G17" s="4">
        <f t="shared" ref="G17:J17" si="3">F20</f>
        <v>7961</v>
      </c>
      <c r="H17" s="4">
        <f t="shared" si="3"/>
        <v>7961</v>
      </c>
      <c r="I17" s="4">
        <f t="shared" si="3"/>
        <v>7961</v>
      </c>
      <c r="J17" s="4">
        <f t="shared" si="3"/>
        <v>7961</v>
      </c>
      <c r="P17" s="49"/>
    </row>
    <row r="18" spans="1:16" x14ac:dyDescent="0.25">
      <c r="B18" s="4" t="s">
        <v>35</v>
      </c>
      <c r="E18" s="29"/>
      <c r="F18" s="4">
        <f>F8</f>
        <v>0</v>
      </c>
      <c r="G18" s="4">
        <f t="shared" ref="G18:J18" si="4">G8</f>
        <v>0</v>
      </c>
      <c r="H18" s="4">
        <f t="shared" si="4"/>
        <v>0</v>
      </c>
      <c r="I18" s="4">
        <f t="shared" si="4"/>
        <v>0</v>
      </c>
      <c r="J18" s="4">
        <f t="shared" si="4"/>
        <v>0</v>
      </c>
      <c r="P18" s="49"/>
    </row>
    <row r="19" spans="1:16" x14ac:dyDescent="0.25">
      <c r="B19" s="4" t="s">
        <v>36</v>
      </c>
      <c r="E19" s="29"/>
      <c r="F19" s="4">
        <f>F9</f>
        <v>0</v>
      </c>
      <c r="G19" s="4">
        <f t="shared" ref="G19:J19" si="5">G9</f>
        <v>0</v>
      </c>
      <c r="H19" s="4">
        <f t="shared" si="5"/>
        <v>0</v>
      </c>
      <c r="I19" s="4">
        <f t="shared" si="5"/>
        <v>0</v>
      </c>
      <c r="J19" s="4">
        <f t="shared" si="5"/>
        <v>0</v>
      </c>
    </row>
    <row r="20" spans="1:16" x14ac:dyDescent="0.25">
      <c r="B20" s="4" t="s">
        <v>23</v>
      </c>
      <c r="C20" s="10"/>
      <c r="E20" s="29">
        <f>BalSheet!E32</f>
        <v>7961</v>
      </c>
      <c r="F20" s="4">
        <f>F17+F18-F19</f>
        <v>7961</v>
      </c>
      <c r="G20" s="4">
        <f t="shared" ref="G20:J20" si="6">G17+G18-G19</f>
        <v>7961</v>
      </c>
      <c r="H20" s="4">
        <f t="shared" si="6"/>
        <v>7961</v>
      </c>
      <c r="I20" s="4">
        <f t="shared" si="6"/>
        <v>7961</v>
      </c>
      <c r="J20" s="4">
        <f t="shared" si="6"/>
        <v>7961</v>
      </c>
    </row>
    <row r="21" spans="1:16" x14ac:dyDescent="0.25">
      <c r="B21" s="4" t="s">
        <v>32</v>
      </c>
      <c r="D21" s="50"/>
      <c r="E21" s="29"/>
      <c r="F21" s="8">
        <f>F5</f>
        <v>3.1E-2</v>
      </c>
      <c r="G21" s="8">
        <f t="shared" ref="G21:J21" si="7">G5</f>
        <v>3.1E-2</v>
      </c>
      <c r="H21" s="8">
        <f t="shared" si="7"/>
        <v>3.1E-2</v>
      </c>
      <c r="I21" s="8">
        <f t="shared" si="7"/>
        <v>3.1E-2</v>
      </c>
      <c r="J21" s="8">
        <f t="shared" si="7"/>
        <v>3.1E-2</v>
      </c>
      <c r="K21" s="304"/>
      <c r="L21" s="304"/>
      <c r="M21" s="304"/>
    </row>
    <row r="22" spans="1:16" x14ac:dyDescent="0.25">
      <c r="B22" s="4" t="s">
        <v>33</v>
      </c>
      <c r="E22" s="29"/>
      <c r="F22" s="4">
        <f>F20*F21</f>
        <v>246.791</v>
      </c>
      <c r="G22" s="4">
        <f t="shared" ref="G22:J22" si="8">G20*G21</f>
        <v>246.791</v>
      </c>
      <c r="H22" s="4">
        <f t="shared" si="8"/>
        <v>246.791</v>
      </c>
      <c r="I22" s="4">
        <f t="shared" si="8"/>
        <v>246.791</v>
      </c>
      <c r="J22" s="4">
        <f t="shared" si="8"/>
        <v>246.791</v>
      </c>
    </row>
    <row r="23" spans="1:16" x14ac:dyDescent="0.25">
      <c r="E23" s="29"/>
      <c r="I23" s="4"/>
      <c r="J23" s="4"/>
    </row>
    <row r="24" spans="1:16" x14ac:dyDescent="0.25">
      <c r="A24" s="22" t="s">
        <v>37</v>
      </c>
      <c r="B24" s="44"/>
      <c r="C24" s="247">
        <f>C16</f>
        <v>2023</v>
      </c>
      <c r="D24" s="247">
        <f t="shared" ref="D24:J24" si="9">D16</f>
        <v>2024</v>
      </c>
      <c r="E24" s="247">
        <f t="shared" si="9"/>
        <v>2025</v>
      </c>
      <c r="F24" s="247">
        <f t="shared" si="9"/>
        <v>2026</v>
      </c>
      <c r="G24" s="247">
        <f t="shared" si="9"/>
        <v>2027</v>
      </c>
      <c r="H24" s="247">
        <f t="shared" si="9"/>
        <v>2028</v>
      </c>
      <c r="I24" s="247">
        <f t="shared" si="9"/>
        <v>2029</v>
      </c>
      <c r="J24" s="247">
        <f t="shared" si="9"/>
        <v>2030</v>
      </c>
      <c r="K24" s="289"/>
      <c r="L24" s="289"/>
      <c r="M24" s="289"/>
      <c r="N24" s="204"/>
      <c r="O24" s="204"/>
    </row>
    <row r="25" spans="1:16" x14ac:dyDescent="0.25">
      <c r="A25" s="7"/>
      <c r="B25" s="4" t="s">
        <v>30</v>
      </c>
      <c r="E25" s="29"/>
      <c r="F25" s="4">
        <v>0</v>
      </c>
      <c r="G25" s="4">
        <v>0</v>
      </c>
      <c r="H25" s="4">
        <v>0</v>
      </c>
      <c r="I25" s="4">
        <v>0</v>
      </c>
      <c r="J25" s="4">
        <v>0</v>
      </c>
    </row>
    <row r="26" spans="1:16" x14ac:dyDescent="0.25">
      <c r="A26" s="7"/>
      <c r="B26" s="4" t="s">
        <v>38</v>
      </c>
      <c r="E26" s="29"/>
      <c r="F26" s="4">
        <f>F20</f>
        <v>7961</v>
      </c>
      <c r="G26" s="4">
        <f t="shared" ref="G26:J26" si="10">G20</f>
        <v>7961</v>
      </c>
      <c r="H26" s="4">
        <f t="shared" si="10"/>
        <v>7961</v>
      </c>
      <c r="I26" s="4">
        <f t="shared" si="10"/>
        <v>7961</v>
      </c>
      <c r="J26" s="4">
        <f t="shared" si="10"/>
        <v>7961</v>
      </c>
    </row>
    <row r="27" spans="1:16" x14ac:dyDescent="0.25">
      <c r="A27" s="7"/>
      <c r="B27" s="11" t="s">
        <v>39</v>
      </c>
      <c r="D27" s="11"/>
      <c r="E27" s="26"/>
      <c r="F27" s="11">
        <f>SUM(F25:F26)</f>
        <v>7961</v>
      </c>
      <c r="G27" s="11">
        <f t="shared" ref="G27:J27" si="11">SUM(G25:G26)</f>
        <v>7961</v>
      </c>
      <c r="H27" s="11">
        <f t="shared" si="11"/>
        <v>7961</v>
      </c>
      <c r="I27" s="11">
        <f t="shared" si="11"/>
        <v>7961</v>
      </c>
      <c r="J27" s="11">
        <f t="shared" si="11"/>
        <v>7961</v>
      </c>
      <c r="K27" s="300"/>
      <c r="L27" s="300"/>
      <c r="M27" s="300"/>
      <c r="N27" s="11"/>
      <c r="O27" s="11"/>
    </row>
    <row r="28" spans="1:16" x14ac:dyDescent="0.25">
      <c r="A28" s="7"/>
      <c r="B28" s="4" t="s">
        <v>40</v>
      </c>
      <c r="E28" s="29"/>
      <c r="F28" s="4">
        <f>SUM(F22,F14)</f>
        <v>246.791</v>
      </c>
      <c r="G28" s="4">
        <f t="shared" ref="G28:J28" si="12">SUM(G22,G14)</f>
        <v>246.791</v>
      </c>
      <c r="H28" s="4">
        <f t="shared" si="12"/>
        <v>246.791</v>
      </c>
      <c r="I28" s="4">
        <f t="shared" si="12"/>
        <v>246.791</v>
      </c>
      <c r="J28" s="4">
        <f t="shared" si="12"/>
        <v>246.791</v>
      </c>
    </row>
    <row r="29" spans="1:16" x14ac:dyDescent="0.25">
      <c r="A29" s="7"/>
      <c r="E29" s="29"/>
      <c r="I29" s="4"/>
      <c r="J29" s="4"/>
    </row>
    <row r="30" spans="1:16" x14ac:dyDescent="0.25">
      <c r="A30" s="22" t="s">
        <v>41</v>
      </c>
      <c r="B30" s="44"/>
      <c r="C30" s="247">
        <f>C11</f>
        <v>2023</v>
      </c>
      <c r="D30" s="247">
        <f t="shared" ref="D30:J30" si="13">D11</f>
        <v>2024</v>
      </c>
      <c r="E30" s="247">
        <f t="shared" si="13"/>
        <v>2025</v>
      </c>
      <c r="F30" s="247">
        <f t="shared" si="13"/>
        <v>2026</v>
      </c>
      <c r="G30" s="247">
        <f t="shared" si="13"/>
        <v>2027</v>
      </c>
      <c r="H30" s="247">
        <f t="shared" si="13"/>
        <v>2028</v>
      </c>
      <c r="I30" s="247">
        <f t="shared" si="13"/>
        <v>2029</v>
      </c>
      <c r="J30" s="247">
        <f t="shared" si="13"/>
        <v>2030</v>
      </c>
      <c r="K30" s="289"/>
      <c r="L30" s="289"/>
      <c r="M30" s="289"/>
      <c r="N30" s="204"/>
      <c r="O30" s="204"/>
    </row>
    <row r="31" spans="1:16" x14ac:dyDescent="0.25">
      <c r="A31" s="7"/>
      <c r="B31" s="4" t="s">
        <v>167</v>
      </c>
      <c r="E31" s="29">
        <f>BalSheet!E14</f>
        <v>9151</v>
      </c>
      <c r="F31" s="328">
        <f>BalSheet!F14</f>
        <v>6414.0171216493691</v>
      </c>
      <c r="G31" s="328">
        <f>BalSheet!G14</f>
        <v>3697.6751728892114</v>
      </c>
      <c r="H31" s="328">
        <f>BalSheet!H14</f>
        <v>4502.1852046834329</v>
      </c>
      <c r="I31" s="328">
        <f>BalSheet!I14</f>
        <v>5909.066780008885</v>
      </c>
      <c r="J31" s="328">
        <f>BalSheet!J14</f>
        <v>8014.1990215836759</v>
      </c>
    </row>
    <row r="32" spans="1:16" x14ac:dyDescent="0.25">
      <c r="B32" s="4" t="s">
        <v>32</v>
      </c>
      <c r="D32" s="50"/>
      <c r="E32" s="25">
        <f>E6</f>
        <v>1.1692711179106108E-2</v>
      </c>
      <c r="F32" s="5">
        <f>F6</f>
        <v>1.1692711179106108E-2</v>
      </c>
      <c r="G32" s="5">
        <f t="shared" ref="G32:J32" si="14">G6</f>
        <v>1.1692711179106108E-2</v>
      </c>
      <c r="H32" s="5">
        <f t="shared" si="14"/>
        <v>1.1692711179106108E-2</v>
      </c>
      <c r="I32" s="5">
        <f t="shared" si="14"/>
        <v>1.1692711179106108E-2</v>
      </c>
      <c r="J32" s="5">
        <f t="shared" si="14"/>
        <v>1.1692711179106108E-2</v>
      </c>
      <c r="K32" s="168"/>
      <c r="L32" s="168"/>
      <c r="M32" s="168"/>
      <c r="N32" s="168"/>
      <c r="O32" s="168"/>
    </row>
    <row r="33" spans="2:10" x14ac:dyDescent="0.25">
      <c r="B33" s="4" t="s">
        <v>41</v>
      </c>
      <c r="E33" s="29">
        <f>E31*E32</f>
        <v>107</v>
      </c>
      <c r="F33" s="4">
        <f>F32*F31</f>
        <v>74.997249701287558</v>
      </c>
      <c r="G33" s="4">
        <f t="shared" ref="G33:J33" si="15">G32*G31</f>
        <v>43.235847830744795</v>
      </c>
      <c r="H33" s="4">
        <f t="shared" si="15"/>
        <v>52.642751273208098</v>
      </c>
      <c r="I33" s="4">
        <f t="shared" si="15"/>
        <v>69.09301119669442</v>
      </c>
      <c r="J33" s="4">
        <f t="shared" si="15"/>
        <v>93.707714491252688</v>
      </c>
    </row>
    <row r="34" spans="2:10" x14ac:dyDescent="0.25">
      <c r="E34" s="29"/>
    </row>
  </sheetData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&amp;L&amp;8&amp;F &amp;A</oddHeader>
    <oddFooter>&amp;R&amp;8&amp;P of &amp;N&amp;L&amp;8© AMT Training 2008 - 2017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>
    <pageSetUpPr autoPageBreaks="0" fitToPage="1"/>
  </sheetPr>
  <dimension ref="A1:O44"/>
  <sheetViews>
    <sheetView showGridLines="0" zoomScaleNormal="100" workbookViewId="0">
      <selection activeCell="G41" sqref="G41"/>
    </sheetView>
  </sheetViews>
  <sheetFormatPr defaultColWidth="8.85546875" defaultRowHeight="15" x14ac:dyDescent="0.25"/>
  <cols>
    <col min="1" max="1" width="1.7109375" style="11" customWidth="1"/>
    <col min="2" max="2" width="40.7109375" style="4" customWidth="1"/>
    <col min="3" max="7" width="11.7109375" style="4" customWidth="1"/>
    <col min="8" max="8" width="11.7109375" style="6" customWidth="1"/>
    <col min="9" max="10" width="11.7109375" style="4" customWidth="1"/>
    <col min="11" max="13" width="11.7109375" style="292" customWidth="1"/>
    <col min="14" max="15" width="12" style="4" customWidth="1"/>
    <col min="16" max="256" width="8.85546875" style="4"/>
    <col min="257" max="257" width="1.7109375" style="4" customWidth="1"/>
    <col min="258" max="258" width="40.7109375" style="4" customWidth="1"/>
    <col min="259" max="263" width="10.7109375" style="4" customWidth="1"/>
    <col min="264" max="264" width="11.42578125" style="4" customWidth="1"/>
    <col min="265" max="266" width="12" style="4" customWidth="1"/>
    <col min="267" max="268" width="8.85546875" style="4"/>
    <col min="269" max="269" width="10.7109375" style="4" bestFit="1" customWidth="1"/>
    <col min="270" max="512" width="8.85546875" style="4"/>
    <col min="513" max="513" width="1.7109375" style="4" customWidth="1"/>
    <col min="514" max="514" width="40.7109375" style="4" customWidth="1"/>
    <col min="515" max="519" width="10.7109375" style="4" customWidth="1"/>
    <col min="520" max="520" width="11.42578125" style="4" customWidth="1"/>
    <col min="521" max="522" width="12" style="4" customWidth="1"/>
    <col min="523" max="524" width="8.85546875" style="4"/>
    <col min="525" max="525" width="10.7109375" style="4" bestFit="1" customWidth="1"/>
    <col min="526" max="768" width="8.85546875" style="4"/>
    <col min="769" max="769" width="1.7109375" style="4" customWidth="1"/>
    <col min="770" max="770" width="40.7109375" style="4" customWidth="1"/>
    <col min="771" max="775" width="10.7109375" style="4" customWidth="1"/>
    <col min="776" max="776" width="11.42578125" style="4" customWidth="1"/>
    <col min="777" max="778" width="12" style="4" customWidth="1"/>
    <col min="779" max="780" width="8.85546875" style="4"/>
    <col min="781" max="781" width="10.7109375" style="4" bestFit="1" customWidth="1"/>
    <col min="782" max="1024" width="8.85546875" style="4"/>
    <col min="1025" max="1025" width="1.7109375" style="4" customWidth="1"/>
    <col min="1026" max="1026" width="40.7109375" style="4" customWidth="1"/>
    <col min="1027" max="1031" width="10.7109375" style="4" customWidth="1"/>
    <col min="1032" max="1032" width="11.42578125" style="4" customWidth="1"/>
    <col min="1033" max="1034" width="12" style="4" customWidth="1"/>
    <col min="1035" max="1036" width="8.85546875" style="4"/>
    <col min="1037" max="1037" width="10.7109375" style="4" bestFit="1" customWidth="1"/>
    <col min="1038" max="1280" width="8.85546875" style="4"/>
    <col min="1281" max="1281" width="1.7109375" style="4" customWidth="1"/>
    <col min="1282" max="1282" width="40.7109375" style="4" customWidth="1"/>
    <col min="1283" max="1287" width="10.7109375" style="4" customWidth="1"/>
    <col min="1288" max="1288" width="11.42578125" style="4" customWidth="1"/>
    <col min="1289" max="1290" width="12" style="4" customWidth="1"/>
    <col min="1291" max="1292" width="8.85546875" style="4"/>
    <col min="1293" max="1293" width="10.7109375" style="4" bestFit="1" customWidth="1"/>
    <col min="1294" max="1536" width="8.85546875" style="4"/>
    <col min="1537" max="1537" width="1.7109375" style="4" customWidth="1"/>
    <col min="1538" max="1538" width="40.7109375" style="4" customWidth="1"/>
    <col min="1539" max="1543" width="10.7109375" style="4" customWidth="1"/>
    <col min="1544" max="1544" width="11.42578125" style="4" customWidth="1"/>
    <col min="1545" max="1546" width="12" style="4" customWidth="1"/>
    <col min="1547" max="1548" width="8.85546875" style="4"/>
    <col min="1549" max="1549" width="10.7109375" style="4" bestFit="1" customWidth="1"/>
    <col min="1550" max="1792" width="8.85546875" style="4"/>
    <col min="1793" max="1793" width="1.7109375" style="4" customWidth="1"/>
    <col min="1794" max="1794" width="40.7109375" style="4" customWidth="1"/>
    <col min="1795" max="1799" width="10.7109375" style="4" customWidth="1"/>
    <col min="1800" max="1800" width="11.42578125" style="4" customWidth="1"/>
    <col min="1801" max="1802" width="12" style="4" customWidth="1"/>
    <col min="1803" max="1804" width="8.85546875" style="4"/>
    <col min="1805" max="1805" width="10.7109375" style="4" bestFit="1" customWidth="1"/>
    <col min="1806" max="2048" width="8.85546875" style="4"/>
    <col min="2049" max="2049" width="1.7109375" style="4" customWidth="1"/>
    <col min="2050" max="2050" width="40.7109375" style="4" customWidth="1"/>
    <col min="2051" max="2055" width="10.7109375" style="4" customWidth="1"/>
    <col min="2056" max="2056" width="11.42578125" style="4" customWidth="1"/>
    <col min="2057" max="2058" width="12" style="4" customWidth="1"/>
    <col min="2059" max="2060" width="8.85546875" style="4"/>
    <col min="2061" max="2061" width="10.7109375" style="4" bestFit="1" customWidth="1"/>
    <col min="2062" max="2304" width="8.85546875" style="4"/>
    <col min="2305" max="2305" width="1.7109375" style="4" customWidth="1"/>
    <col min="2306" max="2306" width="40.7109375" style="4" customWidth="1"/>
    <col min="2307" max="2311" width="10.7109375" style="4" customWidth="1"/>
    <col min="2312" max="2312" width="11.42578125" style="4" customWidth="1"/>
    <col min="2313" max="2314" width="12" style="4" customWidth="1"/>
    <col min="2315" max="2316" width="8.85546875" style="4"/>
    <col min="2317" max="2317" width="10.7109375" style="4" bestFit="1" customWidth="1"/>
    <col min="2318" max="2560" width="8.85546875" style="4"/>
    <col min="2561" max="2561" width="1.7109375" style="4" customWidth="1"/>
    <col min="2562" max="2562" width="40.7109375" style="4" customWidth="1"/>
    <col min="2563" max="2567" width="10.7109375" style="4" customWidth="1"/>
    <col min="2568" max="2568" width="11.42578125" style="4" customWidth="1"/>
    <col min="2569" max="2570" width="12" style="4" customWidth="1"/>
    <col min="2571" max="2572" width="8.85546875" style="4"/>
    <col min="2573" max="2573" width="10.7109375" style="4" bestFit="1" customWidth="1"/>
    <col min="2574" max="2816" width="8.85546875" style="4"/>
    <col min="2817" max="2817" width="1.7109375" style="4" customWidth="1"/>
    <col min="2818" max="2818" width="40.7109375" style="4" customWidth="1"/>
    <col min="2819" max="2823" width="10.7109375" style="4" customWidth="1"/>
    <col min="2824" max="2824" width="11.42578125" style="4" customWidth="1"/>
    <col min="2825" max="2826" width="12" style="4" customWidth="1"/>
    <col min="2827" max="2828" width="8.85546875" style="4"/>
    <col min="2829" max="2829" width="10.7109375" style="4" bestFit="1" customWidth="1"/>
    <col min="2830" max="3072" width="8.85546875" style="4"/>
    <col min="3073" max="3073" width="1.7109375" style="4" customWidth="1"/>
    <col min="3074" max="3074" width="40.7109375" style="4" customWidth="1"/>
    <col min="3075" max="3079" width="10.7109375" style="4" customWidth="1"/>
    <col min="3080" max="3080" width="11.42578125" style="4" customWidth="1"/>
    <col min="3081" max="3082" width="12" style="4" customWidth="1"/>
    <col min="3083" max="3084" width="8.85546875" style="4"/>
    <col min="3085" max="3085" width="10.7109375" style="4" bestFit="1" customWidth="1"/>
    <col min="3086" max="3328" width="8.85546875" style="4"/>
    <col min="3329" max="3329" width="1.7109375" style="4" customWidth="1"/>
    <col min="3330" max="3330" width="40.7109375" style="4" customWidth="1"/>
    <col min="3331" max="3335" width="10.7109375" style="4" customWidth="1"/>
    <col min="3336" max="3336" width="11.42578125" style="4" customWidth="1"/>
    <col min="3337" max="3338" width="12" style="4" customWidth="1"/>
    <col min="3339" max="3340" width="8.85546875" style="4"/>
    <col min="3341" max="3341" width="10.7109375" style="4" bestFit="1" customWidth="1"/>
    <col min="3342" max="3584" width="8.85546875" style="4"/>
    <col min="3585" max="3585" width="1.7109375" style="4" customWidth="1"/>
    <col min="3586" max="3586" width="40.7109375" style="4" customWidth="1"/>
    <col min="3587" max="3591" width="10.7109375" style="4" customWidth="1"/>
    <col min="3592" max="3592" width="11.42578125" style="4" customWidth="1"/>
    <col min="3593" max="3594" width="12" style="4" customWidth="1"/>
    <col min="3595" max="3596" width="8.85546875" style="4"/>
    <col min="3597" max="3597" width="10.7109375" style="4" bestFit="1" customWidth="1"/>
    <col min="3598" max="3840" width="8.85546875" style="4"/>
    <col min="3841" max="3841" width="1.7109375" style="4" customWidth="1"/>
    <col min="3842" max="3842" width="40.7109375" style="4" customWidth="1"/>
    <col min="3843" max="3847" width="10.7109375" style="4" customWidth="1"/>
    <col min="3848" max="3848" width="11.42578125" style="4" customWidth="1"/>
    <col min="3849" max="3850" width="12" style="4" customWidth="1"/>
    <col min="3851" max="3852" width="8.85546875" style="4"/>
    <col min="3853" max="3853" width="10.7109375" style="4" bestFit="1" customWidth="1"/>
    <col min="3854" max="4096" width="8.85546875" style="4"/>
    <col min="4097" max="4097" width="1.7109375" style="4" customWidth="1"/>
    <col min="4098" max="4098" width="40.7109375" style="4" customWidth="1"/>
    <col min="4099" max="4103" width="10.7109375" style="4" customWidth="1"/>
    <col min="4104" max="4104" width="11.42578125" style="4" customWidth="1"/>
    <col min="4105" max="4106" width="12" style="4" customWidth="1"/>
    <col min="4107" max="4108" width="8.85546875" style="4"/>
    <col min="4109" max="4109" width="10.7109375" style="4" bestFit="1" customWidth="1"/>
    <col min="4110" max="4352" width="8.85546875" style="4"/>
    <col min="4353" max="4353" width="1.7109375" style="4" customWidth="1"/>
    <col min="4354" max="4354" width="40.7109375" style="4" customWidth="1"/>
    <col min="4355" max="4359" width="10.7109375" style="4" customWidth="1"/>
    <col min="4360" max="4360" width="11.42578125" style="4" customWidth="1"/>
    <col min="4361" max="4362" width="12" style="4" customWidth="1"/>
    <col min="4363" max="4364" width="8.85546875" style="4"/>
    <col min="4365" max="4365" width="10.7109375" style="4" bestFit="1" customWidth="1"/>
    <col min="4366" max="4608" width="8.85546875" style="4"/>
    <col min="4609" max="4609" width="1.7109375" style="4" customWidth="1"/>
    <col min="4610" max="4610" width="40.7109375" style="4" customWidth="1"/>
    <col min="4611" max="4615" width="10.7109375" style="4" customWidth="1"/>
    <col min="4616" max="4616" width="11.42578125" style="4" customWidth="1"/>
    <col min="4617" max="4618" width="12" style="4" customWidth="1"/>
    <col min="4619" max="4620" width="8.85546875" style="4"/>
    <col min="4621" max="4621" width="10.7109375" style="4" bestFit="1" customWidth="1"/>
    <col min="4622" max="4864" width="8.85546875" style="4"/>
    <col min="4865" max="4865" width="1.7109375" style="4" customWidth="1"/>
    <col min="4866" max="4866" width="40.7109375" style="4" customWidth="1"/>
    <col min="4867" max="4871" width="10.7109375" style="4" customWidth="1"/>
    <col min="4872" max="4872" width="11.42578125" style="4" customWidth="1"/>
    <col min="4873" max="4874" width="12" style="4" customWidth="1"/>
    <col min="4875" max="4876" width="8.85546875" style="4"/>
    <col min="4877" max="4877" width="10.7109375" style="4" bestFit="1" customWidth="1"/>
    <col min="4878" max="5120" width="8.85546875" style="4"/>
    <col min="5121" max="5121" width="1.7109375" style="4" customWidth="1"/>
    <col min="5122" max="5122" width="40.7109375" style="4" customWidth="1"/>
    <col min="5123" max="5127" width="10.7109375" style="4" customWidth="1"/>
    <col min="5128" max="5128" width="11.42578125" style="4" customWidth="1"/>
    <col min="5129" max="5130" width="12" style="4" customWidth="1"/>
    <col min="5131" max="5132" width="8.85546875" style="4"/>
    <col min="5133" max="5133" width="10.7109375" style="4" bestFit="1" customWidth="1"/>
    <col min="5134" max="5376" width="8.85546875" style="4"/>
    <col min="5377" max="5377" width="1.7109375" style="4" customWidth="1"/>
    <col min="5378" max="5378" width="40.7109375" style="4" customWidth="1"/>
    <col min="5379" max="5383" width="10.7109375" style="4" customWidth="1"/>
    <col min="5384" max="5384" width="11.42578125" style="4" customWidth="1"/>
    <col min="5385" max="5386" width="12" style="4" customWidth="1"/>
    <col min="5387" max="5388" width="8.85546875" style="4"/>
    <col min="5389" max="5389" width="10.7109375" style="4" bestFit="1" customWidth="1"/>
    <col min="5390" max="5632" width="8.85546875" style="4"/>
    <col min="5633" max="5633" width="1.7109375" style="4" customWidth="1"/>
    <col min="5634" max="5634" width="40.7109375" style="4" customWidth="1"/>
    <col min="5635" max="5639" width="10.7109375" style="4" customWidth="1"/>
    <col min="5640" max="5640" width="11.42578125" style="4" customWidth="1"/>
    <col min="5641" max="5642" width="12" style="4" customWidth="1"/>
    <col min="5643" max="5644" width="8.85546875" style="4"/>
    <col min="5645" max="5645" width="10.7109375" style="4" bestFit="1" customWidth="1"/>
    <col min="5646" max="5888" width="8.85546875" style="4"/>
    <col min="5889" max="5889" width="1.7109375" style="4" customWidth="1"/>
    <col min="5890" max="5890" width="40.7109375" style="4" customWidth="1"/>
    <col min="5891" max="5895" width="10.7109375" style="4" customWidth="1"/>
    <col min="5896" max="5896" width="11.42578125" style="4" customWidth="1"/>
    <col min="5897" max="5898" width="12" style="4" customWidth="1"/>
    <col min="5899" max="5900" width="8.85546875" style="4"/>
    <col min="5901" max="5901" width="10.7109375" style="4" bestFit="1" customWidth="1"/>
    <col min="5902" max="6144" width="8.85546875" style="4"/>
    <col min="6145" max="6145" width="1.7109375" style="4" customWidth="1"/>
    <col min="6146" max="6146" width="40.7109375" style="4" customWidth="1"/>
    <col min="6147" max="6151" width="10.7109375" style="4" customWidth="1"/>
    <col min="6152" max="6152" width="11.42578125" style="4" customWidth="1"/>
    <col min="6153" max="6154" width="12" style="4" customWidth="1"/>
    <col min="6155" max="6156" width="8.85546875" style="4"/>
    <col min="6157" max="6157" width="10.7109375" style="4" bestFit="1" customWidth="1"/>
    <col min="6158" max="6400" width="8.85546875" style="4"/>
    <col min="6401" max="6401" width="1.7109375" style="4" customWidth="1"/>
    <col min="6402" max="6402" width="40.7109375" style="4" customWidth="1"/>
    <col min="6403" max="6407" width="10.7109375" style="4" customWidth="1"/>
    <col min="6408" max="6408" width="11.42578125" style="4" customWidth="1"/>
    <col min="6409" max="6410" width="12" style="4" customWidth="1"/>
    <col min="6411" max="6412" width="8.85546875" style="4"/>
    <col min="6413" max="6413" width="10.7109375" style="4" bestFit="1" customWidth="1"/>
    <col min="6414" max="6656" width="8.85546875" style="4"/>
    <col min="6657" max="6657" width="1.7109375" style="4" customWidth="1"/>
    <col min="6658" max="6658" width="40.7109375" style="4" customWidth="1"/>
    <col min="6659" max="6663" width="10.7109375" style="4" customWidth="1"/>
    <col min="6664" max="6664" width="11.42578125" style="4" customWidth="1"/>
    <col min="6665" max="6666" width="12" style="4" customWidth="1"/>
    <col min="6667" max="6668" width="8.85546875" style="4"/>
    <col min="6669" max="6669" width="10.7109375" style="4" bestFit="1" customWidth="1"/>
    <col min="6670" max="6912" width="8.85546875" style="4"/>
    <col min="6913" max="6913" width="1.7109375" style="4" customWidth="1"/>
    <col min="6914" max="6914" width="40.7109375" style="4" customWidth="1"/>
    <col min="6915" max="6919" width="10.7109375" style="4" customWidth="1"/>
    <col min="6920" max="6920" width="11.42578125" style="4" customWidth="1"/>
    <col min="6921" max="6922" width="12" style="4" customWidth="1"/>
    <col min="6923" max="6924" width="8.85546875" style="4"/>
    <col min="6925" max="6925" width="10.7109375" style="4" bestFit="1" customWidth="1"/>
    <col min="6926" max="7168" width="8.85546875" style="4"/>
    <col min="7169" max="7169" width="1.7109375" style="4" customWidth="1"/>
    <col min="7170" max="7170" width="40.7109375" style="4" customWidth="1"/>
    <col min="7171" max="7175" width="10.7109375" style="4" customWidth="1"/>
    <col min="7176" max="7176" width="11.42578125" style="4" customWidth="1"/>
    <col min="7177" max="7178" width="12" style="4" customWidth="1"/>
    <col min="7179" max="7180" width="8.85546875" style="4"/>
    <col min="7181" max="7181" width="10.7109375" style="4" bestFit="1" customWidth="1"/>
    <col min="7182" max="7424" width="8.85546875" style="4"/>
    <col min="7425" max="7425" width="1.7109375" style="4" customWidth="1"/>
    <col min="7426" max="7426" width="40.7109375" style="4" customWidth="1"/>
    <col min="7427" max="7431" width="10.7109375" style="4" customWidth="1"/>
    <col min="7432" max="7432" width="11.42578125" style="4" customWidth="1"/>
    <col min="7433" max="7434" width="12" style="4" customWidth="1"/>
    <col min="7435" max="7436" width="8.85546875" style="4"/>
    <col min="7437" max="7437" width="10.7109375" style="4" bestFit="1" customWidth="1"/>
    <col min="7438" max="7680" width="8.85546875" style="4"/>
    <col min="7681" max="7681" width="1.7109375" style="4" customWidth="1"/>
    <col min="7682" max="7682" width="40.7109375" style="4" customWidth="1"/>
    <col min="7683" max="7687" width="10.7109375" style="4" customWidth="1"/>
    <col min="7688" max="7688" width="11.42578125" style="4" customWidth="1"/>
    <col min="7689" max="7690" width="12" style="4" customWidth="1"/>
    <col min="7691" max="7692" width="8.85546875" style="4"/>
    <col min="7693" max="7693" width="10.7109375" style="4" bestFit="1" customWidth="1"/>
    <col min="7694" max="7936" width="8.85546875" style="4"/>
    <col min="7937" max="7937" width="1.7109375" style="4" customWidth="1"/>
    <col min="7938" max="7938" width="40.7109375" style="4" customWidth="1"/>
    <col min="7939" max="7943" width="10.7109375" style="4" customWidth="1"/>
    <col min="7944" max="7944" width="11.42578125" style="4" customWidth="1"/>
    <col min="7945" max="7946" width="12" style="4" customWidth="1"/>
    <col min="7947" max="7948" width="8.85546875" style="4"/>
    <col min="7949" max="7949" width="10.7109375" style="4" bestFit="1" customWidth="1"/>
    <col min="7950" max="8192" width="8.85546875" style="4"/>
    <col min="8193" max="8193" width="1.7109375" style="4" customWidth="1"/>
    <col min="8194" max="8194" width="40.7109375" style="4" customWidth="1"/>
    <col min="8195" max="8199" width="10.7109375" style="4" customWidth="1"/>
    <col min="8200" max="8200" width="11.42578125" style="4" customWidth="1"/>
    <col min="8201" max="8202" width="12" style="4" customWidth="1"/>
    <col min="8203" max="8204" width="8.85546875" style="4"/>
    <col min="8205" max="8205" width="10.7109375" style="4" bestFit="1" customWidth="1"/>
    <col min="8206" max="8448" width="8.85546875" style="4"/>
    <col min="8449" max="8449" width="1.7109375" style="4" customWidth="1"/>
    <col min="8450" max="8450" width="40.7109375" style="4" customWidth="1"/>
    <col min="8451" max="8455" width="10.7109375" style="4" customWidth="1"/>
    <col min="8456" max="8456" width="11.42578125" style="4" customWidth="1"/>
    <col min="8457" max="8458" width="12" style="4" customWidth="1"/>
    <col min="8459" max="8460" width="8.85546875" style="4"/>
    <col min="8461" max="8461" width="10.7109375" style="4" bestFit="1" customWidth="1"/>
    <col min="8462" max="8704" width="8.85546875" style="4"/>
    <col min="8705" max="8705" width="1.7109375" style="4" customWidth="1"/>
    <col min="8706" max="8706" width="40.7109375" style="4" customWidth="1"/>
    <col min="8707" max="8711" width="10.7109375" style="4" customWidth="1"/>
    <col min="8712" max="8712" width="11.42578125" style="4" customWidth="1"/>
    <col min="8713" max="8714" width="12" style="4" customWidth="1"/>
    <col min="8715" max="8716" width="8.85546875" style="4"/>
    <col min="8717" max="8717" width="10.7109375" style="4" bestFit="1" customWidth="1"/>
    <col min="8718" max="8960" width="8.85546875" style="4"/>
    <col min="8961" max="8961" width="1.7109375" style="4" customWidth="1"/>
    <col min="8962" max="8962" width="40.7109375" style="4" customWidth="1"/>
    <col min="8963" max="8967" width="10.7109375" style="4" customWidth="1"/>
    <col min="8968" max="8968" width="11.42578125" style="4" customWidth="1"/>
    <col min="8969" max="8970" width="12" style="4" customWidth="1"/>
    <col min="8971" max="8972" width="8.85546875" style="4"/>
    <col min="8973" max="8973" width="10.7109375" style="4" bestFit="1" customWidth="1"/>
    <col min="8974" max="9216" width="8.85546875" style="4"/>
    <col min="9217" max="9217" width="1.7109375" style="4" customWidth="1"/>
    <col min="9218" max="9218" width="40.7109375" style="4" customWidth="1"/>
    <col min="9219" max="9223" width="10.7109375" style="4" customWidth="1"/>
    <col min="9224" max="9224" width="11.42578125" style="4" customWidth="1"/>
    <col min="9225" max="9226" width="12" style="4" customWidth="1"/>
    <col min="9227" max="9228" width="8.85546875" style="4"/>
    <col min="9229" max="9229" width="10.7109375" style="4" bestFit="1" customWidth="1"/>
    <col min="9230" max="9472" width="8.85546875" style="4"/>
    <col min="9473" max="9473" width="1.7109375" style="4" customWidth="1"/>
    <col min="9474" max="9474" width="40.7109375" style="4" customWidth="1"/>
    <col min="9475" max="9479" width="10.7109375" style="4" customWidth="1"/>
    <col min="9480" max="9480" width="11.42578125" style="4" customWidth="1"/>
    <col min="9481" max="9482" width="12" style="4" customWidth="1"/>
    <col min="9483" max="9484" width="8.85546875" style="4"/>
    <col min="9485" max="9485" width="10.7109375" style="4" bestFit="1" customWidth="1"/>
    <col min="9486" max="9728" width="8.85546875" style="4"/>
    <col min="9729" max="9729" width="1.7109375" style="4" customWidth="1"/>
    <col min="9730" max="9730" width="40.7109375" style="4" customWidth="1"/>
    <col min="9731" max="9735" width="10.7109375" style="4" customWidth="1"/>
    <col min="9736" max="9736" width="11.42578125" style="4" customWidth="1"/>
    <col min="9737" max="9738" width="12" style="4" customWidth="1"/>
    <col min="9739" max="9740" width="8.85546875" style="4"/>
    <col min="9741" max="9741" width="10.7109375" style="4" bestFit="1" customWidth="1"/>
    <col min="9742" max="9984" width="8.85546875" style="4"/>
    <col min="9985" max="9985" width="1.7109375" style="4" customWidth="1"/>
    <col min="9986" max="9986" width="40.7109375" style="4" customWidth="1"/>
    <col min="9987" max="9991" width="10.7109375" style="4" customWidth="1"/>
    <col min="9992" max="9992" width="11.42578125" style="4" customWidth="1"/>
    <col min="9993" max="9994" width="12" style="4" customWidth="1"/>
    <col min="9995" max="9996" width="8.85546875" style="4"/>
    <col min="9997" max="9997" width="10.7109375" style="4" bestFit="1" customWidth="1"/>
    <col min="9998" max="10240" width="8.85546875" style="4"/>
    <col min="10241" max="10241" width="1.7109375" style="4" customWidth="1"/>
    <col min="10242" max="10242" width="40.7109375" style="4" customWidth="1"/>
    <col min="10243" max="10247" width="10.7109375" style="4" customWidth="1"/>
    <col min="10248" max="10248" width="11.42578125" style="4" customWidth="1"/>
    <col min="10249" max="10250" width="12" style="4" customWidth="1"/>
    <col min="10251" max="10252" width="8.85546875" style="4"/>
    <col min="10253" max="10253" width="10.7109375" style="4" bestFit="1" customWidth="1"/>
    <col min="10254" max="10496" width="8.85546875" style="4"/>
    <col min="10497" max="10497" width="1.7109375" style="4" customWidth="1"/>
    <col min="10498" max="10498" width="40.7109375" style="4" customWidth="1"/>
    <col min="10499" max="10503" width="10.7109375" style="4" customWidth="1"/>
    <col min="10504" max="10504" width="11.42578125" style="4" customWidth="1"/>
    <col min="10505" max="10506" width="12" style="4" customWidth="1"/>
    <col min="10507" max="10508" width="8.85546875" style="4"/>
    <col min="10509" max="10509" width="10.7109375" style="4" bestFit="1" customWidth="1"/>
    <col min="10510" max="10752" width="8.85546875" style="4"/>
    <col min="10753" max="10753" width="1.7109375" style="4" customWidth="1"/>
    <col min="10754" max="10754" width="40.7109375" style="4" customWidth="1"/>
    <col min="10755" max="10759" width="10.7109375" style="4" customWidth="1"/>
    <col min="10760" max="10760" width="11.42578125" style="4" customWidth="1"/>
    <col min="10761" max="10762" width="12" style="4" customWidth="1"/>
    <col min="10763" max="10764" width="8.85546875" style="4"/>
    <col min="10765" max="10765" width="10.7109375" style="4" bestFit="1" customWidth="1"/>
    <col min="10766" max="11008" width="8.85546875" style="4"/>
    <col min="11009" max="11009" width="1.7109375" style="4" customWidth="1"/>
    <col min="11010" max="11010" width="40.7109375" style="4" customWidth="1"/>
    <col min="11011" max="11015" width="10.7109375" style="4" customWidth="1"/>
    <col min="11016" max="11016" width="11.42578125" style="4" customWidth="1"/>
    <col min="11017" max="11018" width="12" style="4" customWidth="1"/>
    <col min="11019" max="11020" width="8.85546875" style="4"/>
    <col min="11021" max="11021" width="10.7109375" style="4" bestFit="1" customWidth="1"/>
    <col min="11022" max="11264" width="8.85546875" style="4"/>
    <col min="11265" max="11265" width="1.7109375" style="4" customWidth="1"/>
    <col min="11266" max="11266" width="40.7109375" style="4" customWidth="1"/>
    <col min="11267" max="11271" width="10.7109375" style="4" customWidth="1"/>
    <col min="11272" max="11272" width="11.42578125" style="4" customWidth="1"/>
    <col min="11273" max="11274" width="12" style="4" customWidth="1"/>
    <col min="11275" max="11276" width="8.85546875" style="4"/>
    <col min="11277" max="11277" width="10.7109375" style="4" bestFit="1" customWidth="1"/>
    <col min="11278" max="11520" width="8.85546875" style="4"/>
    <col min="11521" max="11521" width="1.7109375" style="4" customWidth="1"/>
    <col min="11522" max="11522" width="40.7109375" style="4" customWidth="1"/>
    <col min="11523" max="11527" width="10.7109375" style="4" customWidth="1"/>
    <col min="11528" max="11528" width="11.42578125" style="4" customWidth="1"/>
    <col min="11529" max="11530" width="12" style="4" customWidth="1"/>
    <col min="11531" max="11532" width="8.85546875" style="4"/>
    <col min="11533" max="11533" width="10.7109375" style="4" bestFit="1" customWidth="1"/>
    <col min="11534" max="11776" width="8.85546875" style="4"/>
    <col min="11777" max="11777" width="1.7109375" style="4" customWidth="1"/>
    <col min="11778" max="11778" width="40.7109375" style="4" customWidth="1"/>
    <col min="11779" max="11783" width="10.7109375" style="4" customWidth="1"/>
    <col min="11784" max="11784" width="11.42578125" style="4" customWidth="1"/>
    <col min="11785" max="11786" width="12" style="4" customWidth="1"/>
    <col min="11787" max="11788" width="8.85546875" style="4"/>
    <col min="11789" max="11789" width="10.7109375" style="4" bestFit="1" customWidth="1"/>
    <col min="11790" max="12032" width="8.85546875" style="4"/>
    <col min="12033" max="12033" width="1.7109375" style="4" customWidth="1"/>
    <col min="12034" max="12034" width="40.7109375" style="4" customWidth="1"/>
    <col min="12035" max="12039" width="10.7109375" style="4" customWidth="1"/>
    <col min="12040" max="12040" width="11.42578125" style="4" customWidth="1"/>
    <col min="12041" max="12042" width="12" style="4" customWidth="1"/>
    <col min="12043" max="12044" width="8.85546875" style="4"/>
    <col min="12045" max="12045" width="10.7109375" style="4" bestFit="1" customWidth="1"/>
    <col min="12046" max="12288" width="8.85546875" style="4"/>
    <col min="12289" max="12289" width="1.7109375" style="4" customWidth="1"/>
    <col min="12290" max="12290" width="40.7109375" style="4" customWidth="1"/>
    <col min="12291" max="12295" width="10.7109375" style="4" customWidth="1"/>
    <col min="12296" max="12296" width="11.42578125" style="4" customWidth="1"/>
    <col min="12297" max="12298" width="12" style="4" customWidth="1"/>
    <col min="12299" max="12300" width="8.85546875" style="4"/>
    <col min="12301" max="12301" width="10.7109375" style="4" bestFit="1" customWidth="1"/>
    <col min="12302" max="12544" width="8.85546875" style="4"/>
    <col min="12545" max="12545" width="1.7109375" style="4" customWidth="1"/>
    <col min="12546" max="12546" width="40.7109375" style="4" customWidth="1"/>
    <col min="12547" max="12551" width="10.7109375" style="4" customWidth="1"/>
    <col min="12552" max="12552" width="11.42578125" style="4" customWidth="1"/>
    <col min="12553" max="12554" width="12" style="4" customWidth="1"/>
    <col min="12555" max="12556" width="8.85546875" style="4"/>
    <col min="12557" max="12557" width="10.7109375" style="4" bestFit="1" customWidth="1"/>
    <col min="12558" max="12800" width="8.85546875" style="4"/>
    <col min="12801" max="12801" width="1.7109375" style="4" customWidth="1"/>
    <col min="12802" max="12802" width="40.7109375" style="4" customWidth="1"/>
    <col min="12803" max="12807" width="10.7109375" style="4" customWidth="1"/>
    <col min="12808" max="12808" width="11.42578125" style="4" customWidth="1"/>
    <col min="12809" max="12810" width="12" style="4" customWidth="1"/>
    <col min="12811" max="12812" width="8.85546875" style="4"/>
    <col min="12813" max="12813" width="10.7109375" style="4" bestFit="1" customWidth="1"/>
    <col min="12814" max="13056" width="8.85546875" style="4"/>
    <col min="13057" max="13057" width="1.7109375" style="4" customWidth="1"/>
    <col min="13058" max="13058" width="40.7109375" style="4" customWidth="1"/>
    <col min="13059" max="13063" width="10.7109375" style="4" customWidth="1"/>
    <col min="13064" max="13064" width="11.42578125" style="4" customWidth="1"/>
    <col min="13065" max="13066" width="12" style="4" customWidth="1"/>
    <col min="13067" max="13068" width="8.85546875" style="4"/>
    <col min="13069" max="13069" width="10.7109375" style="4" bestFit="1" customWidth="1"/>
    <col min="13070" max="13312" width="8.85546875" style="4"/>
    <col min="13313" max="13313" width="1.7109375" style="4" customWidth="1"/>
    <col min="13314" max="13314" width="40.7109375" style="4" customWidth="1"/>
    <col min="13315" max="13319" width="10.7109375" style="4" customWidth="1"/>
    <col min="13320" max="13320" width="11.42578125" style="4" customWidth="1"/>
    <col min="13321" max="13322" width="12" style="4" customWidth="1"/>
    <col min="13323" max="13324" width="8.85546875" style="4"/>
    <col min="13325" max="13325" width="10.7109375" style="4" bestFit="1" customWidth="1"/>
    <col min="13326" max="13568" width="8.85546875" style="4"/>
    <col min="13569" max="13569" width="1.7109375" style="4" customWidth="1"/>
    <col min="13570" max="13570" width="40.7109375" style="4" customWidth="1"/>
    <col min="13571" max="13575" width="10.7109375" style="4" customWidth="1"/>
    <col min="13576" max="13576" width="11.42578125" style="4" customWidth="1"/>
    <col min="13577" max="13578" width="12" style="4" customWidth="1"/>
    <col min="13579" max="13580" width="8.85546875" style="4"/>
    <col min="13581" max="13581" width="10.7109375" style="4" bestFit="1" customWidth="1"/>
    <col min="13582" max="13824" width="8.85546875" style="4"/>
    <col min="13825" max="13825" width="1.7109375" style="4" customWidth="1"/>
    <col min="13826" max="13826" width="40.7109375" style="4" customWidth="1"/>
    <col min="13827" max="13831" width="10.7109375" style="4" customWidth="1"/>
    <col min="13832" max="13832" width="11.42578125" style="4" customWidth="1"/>
    <col min="13833" max="13834" width="12" style="4" customWidth="1"/>
    <col min="13835" max="13836" width="8.85546875" style="4"/>
    <col min="13837" max="13837" width="10.7109375" style="4" bestFit="1" customWidth="1"/>
    <col min="13838" max="14080" width="8.85546875" style="4"/>
    <col min="14081" max="14081" width="1.7109375" style="4" customWidth="1"/>
    <col min="14082" max="14082" width="40.7109375" style="4" customWidth="1"/>
    <col min="14083" max="14087" width="10.7109375" style="4" customWidth="1"/>
    <col min="14088" max="14088" width="11.42578125" style="4" customWidth="1"/>
    <col min="14089" max="14090" width="12" style="4" customWidth="1"/>
    <col min="14091" max="14092" width="8.85546875" style="4"/>
    <col min="14093" max="14093" width="10.7109375" style="4" bestFit="1" customWidth="1"/>
    <col min="14094" max="14336" width="8.85546875" style="4"/>
    <col min="14337" max="14337" width="1.7109375" style="4" customWidth="1"/>
    <col min="14338" max="14338" width="40.7109375" style="4" customWidth="1"/>
    <col min="14339" max="14343" width="10.7109375" style="4" customWidth="1"/>
    <col min="14344" max="14344" width="11.42578125" style="4" customWidth="1"/>
    <col min="14345" max="14346" width="12" style="4" customWidth="1"/>
    <col min="14347" max="14348" width="8.85546875" style="4"/>
    <col min="14349" max="14349" width="10.7109375" style="4" bestFit="1" customWidth="1"/>
    <col min="14350" max="14592" width="8.85546875" style="4"/>
    <col min="14593" max="14593" width="1.7109375" style="4" customWidth="1"/>
    <col min="14594" max="14594" width="40.7109375" style="4" customWidth="1"/>
    <col min="14595" max="14599" width="10.7109375" style="4" customWidth="1"/>
    <col min="14600" max="14600" width="11.42578125" style="4" customWidth="1"/>
    <col min="14601" max="14602" width="12" style="4" customWidth="1"/>
    <col min="14603" max="14604" width="8.85546875" style="4"/>
    <col min="14605" max="14605" width="10.7109375" style="4" bestFit="1" customWidth="1"/>
    <col min="14606" max="14848" width="8.85546875" style="4"/>
    <col min="14849" max="14849" width="1.7109375" style="4" customWidth="1"/>
    <col min="14850" max="14850" width="40.7109375" style="4" customWidth="1"/>
    <col min="14851" max="14855" width="10.7109375" style="4" customWidth="1"/>
    <col min="14856" max="14856" width="11.42578125" style="4" customWidth="1"/>
    <col min="14857" max="14858" width="12" style="4" customWidth="1"/>
    <col min="14859" max="14860" width="8.85546875" style="4"/>
    <col min="14861" max="14861" width="10.7109375" style="4" bestFit="1" customWidth="1"/>
    <col min="14862" max="15104" width="8.85546875" style="4"/>
    <col min="15105" max="15105" width="1.7109375" style="4" customWidth="1"/>
    <col min="15106" max="15106" width="40.7109375" style="4" customWidth="1"/>
    <col min="15107" max="15111" width="10.7109375" style="4" customWidth="1"/>
    <col min="15112" max="15112" width="11.42578125" style="4" customWidth="1"/>
    <col min="15113" max="15114" width="12" style="4" customWidth="1"/>
    <col min="15115" max="15116" width="8.85546875" style="4"/>
    <col min="15117" max="15117" width="10.7109375" style="4" bestFit="1" customWidth="1"/>
    <col min="15118" max="15360" width="8.85546875" style="4"/>
    <col min="15361" max="15361" width="1.7109375" style="4" customWidth="1"/>
    <col min="15362" max="15362" width="40.7109375" style="4" customWidth="1"/>
    <col min="15363" max="15367" width="10.7109375" style="4" customWidth="1"/>
    <col min="15368" max="15368" width="11.42578125" style="4" customWidth="1"/>
    <col min="15369" max="15370" width="12" style="4" customWidth="1"/>
    <col min="15371" max="15372" width="8.85546875" style="4"/>
    <col min="15373" max="15373" width="10.7109375" style="4" bestFit="1" customWidth="1"/>
    <col min="15374" max="15616" width="8.85546875" style="4"/>
    <col min="15617" max="15617" width="1.7109375" style="4" customWidth="1"/>
    <col min="15618" max="15618" width="40.7109375" style="4" customWidth="1"/>
    <col min="15619" max="15623" width="10.7109375" style="4" customWidth="1"/>
    <col min="15624" max="15624" width="11.42578125" style="4" customWidth="1"/>
    <col min="15625" max="15626" width="12" style="4" customWidth="1"/>
    <col min="15627" max="15628" width="8.85546875" style="4"/>
    <col min="15629" max="15629" width="10.7109375" style="4" bestFit="1" customWidth="1"/>
    <col min="15630" max="15872" width="8.85546875" style="4"/>
    <col min="15873" max="15873" width="1.7109375" style="4" customWidth="1"/>
    <col min="15874" max="15874" width="40.7109375" style="4" customWidth="1"/>
    <col min="15875" max="15879" width="10.7109375" style="4" customWidth="1"/>
    <col min="15880" max="15880" width="11.42578125" style="4" customWidth="1"/>
    <col min="15881" max="15882" width="12" style="4" customWidth="1"/>
    <col min="15883" max="15884" width="8.85546875" style="4"/>
    <col min="15885" max="15885" width="10.7109375" style="4" bestFit="1" customWidth="1"/>
    <col min="15886" max="16128" width="8.85546875" style="4"/>
    <col min="16129" max="16129" width="1.7109375" style="4" customWidth="1"/>
    <col min="16130" max="16130" width="40.7109375" style="4" customWidth="1"/>
    <col min="16131" max="16135" width="10.7109375" style="4" customWidth="1"/>
    <col min="16136" max="16136" width="11.42578125" style="4" customWidth="1"/>
    <col min="16137" max="16138" width="12" style="4" customWidth="1"/>
    <col min="16139" max="16140" width="8.85546875" style="4"/>
    <col min="16141" max="16141" width="10.7109375" style="4" bestFit="1" customWidth="1"/>
    <col min="16142" max="16384" width="8.85546875" style="4"/>
  </cols>
  <sheetData>
    <row r="1" spans="1:15" s="2" customFormat="1" ht="19.5" x14ac:dyDescent="0.3">
      <c r="A1" s="272" t="str">
        <f>CoName</f>
        <v>Nike Inc.</v>
      </c>
      <c r="B1" s="3"/>
      <c r="C1" s="43" t="s">
        <v>0</v>
      </c>
      <c r="D1" s="43" t="s">
        <v>0</v>
      </c>
      <c r="E1" s="43" t="s">
        <v>0</v>
      </c>
      <c r="F1" s="43" t="s">
        <v>1</v>
      </c>
      <c r="G1" s="43" t="s">
        <v>1</v>
      </c>
      <c r="H1" s="43" t="s">
        <v>1</v>
      </c>
      <c r="I1" s="43" t="s">
        <v>1</v>
      </c>
      <c r="J1" s="43" t="s">
        <v>1</v>
      </c>
      <c r="K1" s="43"/>
      <c r="L1" s="43"/>
      <c r="M1" s="43"/>
      <c r="N1" s="43"/>
      <c r="O1" s="43"/>
    </row>
    <row r="2" spans="1:15" x14ac:dyDescent="0.25">
      <c r="A2" s="17" t="s">
        <v>10</v>
      </c>
      <c r="B2" s="16"/>
      <c r="C2" s="280">
        <v>2023</v>
      </c>
      <c r="D2" s="280">
        <f>C2+1</f>
        <v>2024</v>
      </c>
      <c r="E2" s="280">
        <f t="shared" ref="E2:M2" si="0">D2+1</f>
        <v>2025</v>
      </c>
      <c r="F2" s="280">
        <f t="shared" si="0"/>
        <v>2026</v>
      </c>
      <c r="G2" s="280">
        <f t="shared" si="0"/>
        <v>2027</v>
      </c>
      <c r="H2" s="280">
        <f t="shared" si="0"/>
        <v>2028</v>
      </c>
      <c r="I2" s="280">
        <f t="shared" si="0"/>
        <v>2029</v>
      </c>
      <c r="J2" s="280">
        <f t="shared" si="0"/>
        <v>2030</v>
      </c>
      <c r="K2" s="305"/>
      <c r="L2" s="305"/>
      <c r="M2" s="305"/>
    </row>
    <row r="3" spans="1:15" x14ac:dyDescent="0.25">
      <c r="A3" s="83"/>
      <c r="C3" s="96"/>
      <c r="D3" s="96"/>
      <c r="E3" s="96"/>
    </row>
    <row r="4" spans="1:15" x14ac:dyDescent="0.25">
      <c r="B4" s="32" t="s">
        <v>43</v>
      </c>
      <c r="C4" s="33"/>
      <c r="D4" s="33"/>
      <c r="E4" s="34"/>
      <c r="F4" s="171">
        <f>Assumptions!F10</f>
        <v>5.7828138672329166E-2</v>
      </c>
      <c r="G4" s="171">
        <f>Assumptions!G10</f>
        <v>6.1562446152689576E-2</v>
      </c>
      <c r="H4" s="171">
        <f>Assumptions!H10</f>
        <v>6.6029778119554017E-2</v>
      </c>
      <c r="I4" s="171">
        <f>Assumptions!I10</f>
        <v>7.0793049052157109E-2</v>
      </c>
      <c r="J4" s="309">
        <f>Assumptions!J10</f>
        <v>7.6068525271026255E-2</v>
      </c>
      <c r="K4" s="209"/>
      <c r="L4" s="209"/>
      <c r="M4" s="209"/>
      <c r="N4" s="209"/>
      <c r="O4" s="209"/>
    </row>
    <row r="5" spans="1:15" x14ac:dyDescent="0.25">
      <c r="B5" s="32" t="s">
        <v>44</v>
      </c>
      <c r="C5" s="33">
        <f>C17/C16</f>
        <v>0.56475389030985801</v>
      </c>
      <c r="D5" s="33">
        <f t="shared" ref="D5:E5" si="1">D17/D16</f>
        <v>0.55439819321677508</v>
      </c>
      <c r="E5" s="33">
        <f t="shared" si="1"/>
        <v>0.57265326394437366</v>
      </c>
      <c r="F5" s="171">
        <f>Assumptions!F11</f>
        <v>0.58465326394437367</v>
      </c>
      <c r="G5" s="171">
        <f>Assumptions!G11</f>
        <v>0.58465326394437367</v>
      </c>
      <c r="H5" s="171">
        <f>Assumptions!H11</f>
        <v>0.58465326394437367</v>
      </c>
      <c r="I5" s="171">
        <f>Assumptions!I11</f>
        <v>0.58465326394437367</v>
      </c>
      <c r="J5" s="309">
        <f>Assumptions!J11</f>
        <v>0.58465326394437367</v>
      </c>
      <c r="K5" s="209"/>
      <c r="L5" s="209"/>
      <c r="M5" s="209"/>
      <c r="N5" s="209"/>
      <c r="O5" s="209"/>
    </row>
    <row r="6" spans="1:15" x14ac:dyDescent="0.25">
      <c r="B6" s="32" t="s">
        <v>45</v>
      </c>
      <c r="C6" s="33">
        <f>C18/C16</f>
        <v>0.31975711189644063</v>
      </c>
      <c r="D6" s="33">
        <f t="shared" ref="D6:E6" si="2">D18/D16</f>
        <v>0.32272886569837622</v>
      </c>
      <c r="E6" s="33">
        <f t="shared" si="2"/>
        <v>0.34740547193850008</v>
      </c>
      <c r="F6" s="171">
        <f>Assumptions!F12</f>
        <v>0.35740547193850009</v>
      </c>
      <c r="G6" s="171">
        <f>Assumptions!G12</f>
        <v>0.34740547193850008</v>
      </c>
      <c r="H6" s="171">
        <f>Assumptions!H12</f>
        <v>0.33740547193850007</v>
      </c>
      <c r="I6" s="171">
        <f>Assumptions!I12</f>
        <v>0.32740547193850006</v>
      </c>
      <c r="J6" s="309">
        <f>Assumptions!J12</f>
        <v>0.31740547193850005</v>
      </c>
      <c r="K6" s="209"/>
      <c r="L6" s="209"/>
      <c r="M6" s="209"/>
      <c r="N6" s="209"/>
      <c r="O6" s="209"/>
    </row>
    <row r="7" spans="1:15" x14ac:dyDescent="0.25">
      <c r="A7" s="83"/>
      <c r="B7" s="4" t="s">
        <v>46</v>
      </c>
      <c r="C7" s="32">
        <v>0</v>
      </c>
      <c r="D7" s="32">
        <v>0</v>
      </c>
      <c r="E7" s="32">
        <v>0</v>
      </c>
      <c r="F7" s="172">
        <f>Assumptions!F13</f>
        <v>0</v>
      </c>
      <c r="G7" s="172">
        <f>Assumptions!G13</f>
        <v>0</v>
      </c>
      <c r="H7" s="172">
        <f>Assumptions!H13</f>
        <v>0</v>
      </c>
      <c r="I7" s="172">
        <f>Assumptions!I13</f>
        <v>0</v>
      </c>
      <c r="J7" s="310">
        <f>Assumptions!J13</f>
        <v>0</v>
      </c>
      <c r="K7" s="210"/>
      <c r="L7" s="210"/>
      <c r="M7" s="210"/>
      <c r="N7" s="210"/>
      <c r="O7" s="210"/>
    </row>
    <row r="8" spans="1:15" x14ac:dyDescent="0.25">
      <c r="A8" s="83"/>
      <c r="B8" s="4" t="s">
        <v>47</v>
      </c>
      <c r="C8" s="32">
        <v>0</v>
      </c>
      <c r="D8" s="32">
        <v>0</v>
      </c>
      <c r="E8" s="32">
        <v>0</v>
      </c>
      <c r="F8" s="173">
        <f>Assumptions!F14</f>
        <v>20</v>
      </c>
      <c r="G8" s="173">
        <f>Assumptions!G14</f>
        <v>0</v>
      </c>
      <c r="H8" s="173">
        <f>Assumptions!H14</f>
        <v>0</v>
      </c>
      <c r="I8" s="173">
        <f>Assumptions!I14</f>
        <v>0</v>
      </c>
      <c r="J8" s="311">
        <f>Assumptions!J14</f>
        <v>0</v>
      </c>
      <c r="K8" s="211"/>
      <c r="L8" s="211"/>
      <c r="M8" s="211"/>
      <c r="N8" s="211"/>
      <c r="O8" s="211"/>
    </row>
    <row r="9" spans="1:15" x14ac:dyDescent="0.25">
      <c r="B9" s="4" t="s">
        <v>146</v>
      </c>
      <c r="C9" s="4">
        <v>280</v>
      </c>
      <c r="D9" s="4">
        <v>228</v>
      </c>
      <c r="E9" s="4">
        <v>76</v>
      </c>
      <c r="F9" s="173">
        <f>Assumptions!F15</f>
        <v>0</v>
      </c>
      <c r="G9" s="173">
        <f>Assumptions!G15</f>
        <v>0</v>
      </c>
      <c r="H9" s="173">
        <f>Assumptions!H15</f>
        <v>0</v>
      </c>
      <c r="I9" s="173">
        <f>Assumptions!I15</f>
        <v>0</v>
      </c>
      <c r="J9" s="311">
        <f>Assumptions!J15</f>
        <v>0</v>
      </c>
      <c r="K9" s="211"/>
      <c r="L9" s="211"/>
      <c r="M9" s="211"/>
      <c r="N9" s="211"/>
      <c r="O9" s="211"/>
    </row>
    <row r="10" spans="1:15" x14ac:dyDescent="0.25">
      <c r="B10" s="32" t="s">
        <v>48</v>
      </c>
      <c r="C10" s="45">
        <f>C34/C32</f>
        <v>0.18238993710691823</v>
      </c>
      <c r="D10" s="45">
        <f t="shared" ref="D10:E10" si="3">D34/D32</f>
        <v>0.14925373134328357</v>
      </c>
      <c r="E10" s="45">
        <f t="shared" si="3"/>
        <v>0.17142857142857143</v>
      </c>
      <c r="F10" s="171">
        <f>Assumptions!F16</f>
        <v>0.2</v>
      </c>
      <c r="G10" s="171">
        <f>Assumptions!G16</f>
        <v>0.2</v>
      </c>
      <c r="H10" s="171">
        <f>Assumptions!H16</f>
        <v>0.2</v>
      </c>
      <c r="I10" s="171">
        <f>Assumptions!I16</f>
        <v>0.2</v>
      </c>
      <c r="J10" s="309">
        <f>Assumptions!J16</f>
        <v>0.2</v>
      </c>
      <c r="K10" s="209"/>
      <c r="L10" s="209"/>
      <c r="M10" s="209"/>
      <c r="N10" s="209"/>
      <c r="O10" s="209"/>
    </row>
    <row r="11" spans="1:15" x14ac:dyDescent="0.25">
      <c r="B11" s="4" t="s">
        <v>141</v>
      </c>
      <c r="C11" s="325">
        <f t="shared" ref="C11:E11" si="4">C36</f>
        <v>0.39684418145956607</v>
      </c>
      <c r="D11" s="325">
        <f t="shared" si="4"/>
        <v>0.38052631578947366</v>
      </c>
      <c r="E11" s="28">
        <f>E36</f>
        <v>0.71450761105933525</v>
      </c>
      <c r="F11" s="179">
        <f>Assumptions!F17</f>
        <v>0.71450761105933525</v>
      </c>
      <c r="G11" s="179">
        <f>Assumptions!G17</f>
        <v>0.71450761105933525</v>
      </c>
      <c r="H11" s="179">
        <f>Assumptions!H17</f>
        <v>0.71450761105933525</v>
      </c>
      <c r="I11" s="179">
        <f>Assumptions!I17</f>
        <v>0.71450761105933525</v>
      </c>
      <c r="J11" s="312">
        <f>Assumptions!J17</f>
        <v>0.71450761105933525</v>
      </c>
      <c r="K11" s="212"/>
      <c r="L11" s="212"/>
      <c r="M11" s="212"/>
      <c r="N11" s="212"/>
      <c r="O11" s="212"/>
    </row>
    <row r="12" spans="1:15" x14ac:dyDescent="0.25">
      <c r="B12" s="4" t="s">
        <v>49</v>
      </c>
      <c r="C12" s="32">
        <f>C39</f>
        <v>1551.6</v>
      </c>
      <c r="D12" s="32">
        <f t="shared" ref="D12:E12" si="5">D39</f>
        <v>1517.6</v>
      </c>
      <c r="E12" s="32">
        <f t="shared" si="5"/>
        <v>1484.9</v>
      </c>
      <c r="F12" s="173">
        <f>Assumptions!F18</f>
        <v>1449.9</v>
      </c>
      <c r="G12" s="173">
        <f>Assumptions!G18</f>
        <v>1414.9</v>
      </c>
      <c r="H12" s="173">
        <f>Assumptions!H18</f>
        <v>1414.9</v>
      </c>
      <c r="I12" s="173">
        <f>Assumptions!I18</f>
        <v>1414.9</v>
      </c>
      <c r="J12" s="311">
        <f>Assumptions!J18</f>
        <v>1414.9</v>
      </c>
      <c r="K12" s="211"/>
      <c r="L12" s="211"/>
      <c r="M12" s="211"/>
      <c r="N12" s="211"/>
      <c r="O12" s="211"/>
    </row>
    <row r="13" spans="1:15" x14ac:dyDescent="0.25">
      <c r="B13" s="4" t="s">
        <v>50</v>
      </c>
      <c r="C13" s="32">
        <f t="shared" ref="C13:E13" si="6">C40</f>
        <v>1569.8</v>
      </c>
      <c r="D13" s="32">
        <f t="shared" si="6"/>
        <v>1529.7</v>
      </c>
      <c r="E13" s="32">
        <f t="shared" si="6"/>
        <v>1487.6</v>
      </c>
      <c r="F13" s="173">
        <f>Assumptions!F19</f>
        <v>1487.6</v>
      </c>
      <c r="G13" s="173">
        <f>Assumptions!G19</f>
        <v>1487.6</v>
      </c>
      <c r="H13" s="173">
        <f>Assumptions!H19</f>
        <v>1487.6</v>
      </c>
      <c r="I13" s="173">
        <f>Assumptions!I19</f>
        <v>1487.6</v>
      </c>
      <c r="J13" s="311">
        <f>Assumptions!J19</f>
        <v>1487.6</v>
      </c>
      <c r="K13" s="211"/>
      <c r="L13" s="211"/>
      <c r="M13" s="211"/>
      <c r="N13" s="211"/>
      <c r="O13" s="211"/>
    </row>
    <row r="14" spans="1:15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4.85" customHeight="1" x14ac:dyDescent="0.25">
      <c r="A15" s="174" t="s">
        <v>42</v>
      </c>
      <c r="B15" s="175"/>
      <c r="C15" s="271">
        <f>C2</f>
        <v>2023</v>
      </c>
      <c r="D15" s="271">
        <f>D2</f>
        <v>2024</v>
      </c>
      <c r="E15" s="271">
        <f>E2</f>
        <v>2025</v>
      </c>
      <c r="F15" s="271">
        <f>F2</f>
        <v>2026</v>
      </c>
      <c r="G15" s="271">
        <f>G2</f>
        <v>2027</v>
      </c>
      <c r="H15" s="271">
        <f>H2</f>
        <v>2028</v>
      </c>
      <c r="I15" s="271">
        <f>I2</f>
        <v>2029</v>
      </c>
      <c r="J15" s="271">
        <f>J2</f>
        <v>2030</v>
      </c>
      <c r="K15" s="295"/>
      <c r="L15" s="295"/>
      <c r="M15" s="295"/>
      <c r="N15" s="207"/>
      <c r="O15" s="207"/>
    </row>
    <row r="16" spans="1:15" x14ac:dyDescent="0.25">
      <c r="B16" s="4" t="s">
        <v>51</v>
      </c>
      <c r="C16" s="94">
        <v>51217</v>
      </c>
      <c r="D16" s="118">
        <v>51362</v>
      </c>
      <c r="E16" s="24">
        <v>46309</v>
      </c>
      <c r="F16" s="4">
        <f>E16*(1+F4)</f>
        <v>48986.963273776892</v>
      </c>
      <c r="G16" s="4">
        <f t="shared" ref="G16:J16" si="7">F16*(1+G4)</f>
        <v>52002.72056250256</v>
      </c>
      <c r="H16" s="4">
        <f t="shared" si="7"/>
        <v>55436.448662857772</v>
      </c>
      <c r="I16" s="4">
        <f t="shared" si="7"/>
        <v>59360.963892324849</v>
      </c>
      <c r="J16" s="4">
        <f t="shared" si="7"/>
        <v>63876.464874280638</v>
      </c>
    </row>
    <row r="17" spans="1:15" x14ac:dyDescent="0.25">
      <c r="B17" s="4" t="s">
        <v>158</v>
      </c>
      <c r="C17" s="118">
        <v>28925</v>
      </c>
      <c r="D17" s="118">
        <v>28475</v>
      </c>
      <c r="E17" s="24">
        <v>26519</v>
      </c>
      <c r="F17" s="169">
        <f>F16*F5</f>
        <v>28640.387968736821</v>
      </c>
      <c r="G17" s="169">
        <f t="shared" ref="G17:J17" si="8">G16*G5</f>
        <v>30403.560310854318</v>
      </c>
      <c r="H17" s="169">
        <f t="shared" si="8"/>
        <v>32411.100652224504</v>
      </c>
      <c r="I17" s="169">
        <f t="shared" si="8"/>
        <v>34705.581290531838</v>
      </c>
      <c r="J17" s="169">
        <f t="shared" si="8"/>
        <v>37345.583677976312</v>
      </c>
      <c r="K17" s="208"/>
      <c r="L17" s="208"/>
      <c r="M17" s="208"/>
      <c r="N17" s="208"/>
      <c r="O17" s="208"/>
    </row>
    <row r="18" spans="1:15" x14ac:dyDescent="0.25">
      <c r="B18" s="4" t="s">
        <v>52</v>
      </c>
      <c r="C18" s="118">
        <v>16377</v>
      </c>
      <c r="D18" s="118">
        <v>16576</v>
      </c>
      <c r="E18" s="24">
        <v>16088</v>
      </c>
      <c r="F18" s="169">
        <f>F6*F16</f>
        <v>17508.208727698202</v>
      </c>
      <c r="G18" s="169">
        <f t="shared" ref="G18:J18" si="9">G6*G16</f>
        <v>18066.029679102143</v>
      </c>
      <c r="H18" s="169">
        <f t="shared" si="9"/>
        <v>18704.561123685959</v>
      </c>
      <c r="I18" s="169">
        <f t="shared" si="9"/>
        <v>19435.104397890878</v>
      </c>
      <c r="J18" s="169">
        <f t="shared" si="9"/>
        <v>20274.739479184067</v>
      </c>
      <c r="K18" s="208"/>
      <c r="L18" s="208"/>
      <c r="M18" s="208"/>
      <c r="N18" s="208"/>
      <c r="O18" s="208"/>
    </row>
    <row r="19" spans="1:15" s="11" customFormat="1" x14ac:dyDescent="0.25">
      <c r="A19" s="11" t="s">
        <v>125</v>
      </c>
      <c r="B19" s="18" t="s">
        <v>55</v>
      </c>
      <c r="C19" s="19">
        <f>C16-SUM(C17:C18)</f>
        <v>5915</v>
      </c>
      <c r="D19" s="19">
        <f>D16-SUM(D17:D18)</f>
        <v>6311</v>
      </c>
      <c r="E19" s="19">
        <f>E16-SUM(E17:E18)</f>
        <v>3702</v>
      </c>
      <c r="F19" s="19">
        <f t="shared" ref="F19:J19" si="10">F16-SUM(F17:F18)</f>
        <v>2838.3665773418688</v>
      </c>
      <c r="G19" s="19">
        <f t="shared" si="10"/>
        <v>3533.1305725460988</v>
      </c>
      <c r="H19" s="19">
        <f t="shared" si="10"/>
        <v>4320.7868869473095</v>
      </c>
      <c r="I19" s="19">
        <f t="shared" si="10"/>
        <v>5220.2782039021331</v>
      </c>
      <c r="J19" s="20">
        <f t="shared" si="10"/>
        <v>6256.1417171202556</v>
      </c>
      <c r="K19" s="306"/>
      <c r="L19" s="306"/>
      <c r="M19" s="306"/>
    </row>
    <row r="20" spans="1:15" x14ac:dyDescent="0.25">
      <c r="A20" s="4"/>
      <c r="B20" s="366" t="s">
        <v>220</v>
      </c>
      <c r="C20" s="353">
        <f>C19/C16</f>
        <v>0.11548899779370131</v>
      </c>
      <c r="D20" s="353">
        <f t="shared" ref="D20:E20" si="11">D19/D16</f>
        <v>0.12287294108484872</v>
      </c>
      <c r="E20" s="367">
        <f t="shared" si="11"/>
        <v>7.9941264117126265E-2</v>
      </c>
      <c r="F20" s="353">
        <f t="shared" ref="F20" si="12">F19/F16</f>
        <v>5.7941264117126218E-2</v>
      </c>
      <c r="G20" s="353">
        <f t="shared" ref="G20" si="13">G19/G16</f>
        <v>6.7941264117126254E-2</v>
      </c>
      <c r="H20" s="353">
        <f t="shared" ref="H20" si="14">H19/H16</f>
        <v>7.7941264117126277E-2</v>
      </c>
      <c r="I20" s="353">
        <f t="shared" ref="I20" si="15">I19/I16</f>
        <v>8.794126411712623E-2</v>
      </c>
      <c r="J20" s="353">
        <f t="shared" ref="J20" si="16">J19/J16</f>
        <v>9.7941264117126225E-2</v>
      </c>
      <c r="K20" s="316"/>
      <c r="L20" s="316"/>
      <c r="M20" s="316"/>
    </row>
    <row r="21" spans="1:15" s="11" customFormat="1" x14ac:dyDescent="0.25">
      <c r="E21" s="26"/>
      <c r="G21" s="12"/>
      <c r="K21" s="300"/>
      <c r="L21" s="300"/>
      <c r="M21" s="300"/>
    </row>
    <row r="22" spans="1:15" s="11" customFormat="1" x14ac:dyDescent="0.25">
      <c r="B22" s="4" t="s">
        <v>15</v>
      </c>
      <c r="C22" s="119">
        <v>703</v>
      </c>
      <c r="D22" s="119">
        <v>796</v>
      </c>
      <c r="E22" s="27">
        <v>775</v>
      </c>
      <c r="F22" s="4">
        <f>Calcs!F8</f>
        <v>748.34</v>
      </c>
      <c r="G22" s="4">
        <f>Calcs!G8</f>
        <v>731.21720698100921</v>
      </c>
      <c r="H22" s="4">
        <f>Calcs!H8</f>
        <v>722.83512020460182</v>
      </c>
      <c r="I22" s="4">
        <f>Calcs!I8</f>
        <v>722.68251658830673</v>
      </c>
      <c r="J22" s="4">
        <f>Calcs!J8</f>
        <v>730.47437708603979</v>
      </c>
      <c r="K22" s="292"/>
      <c r="L22" s="292"/>
      <c r="M22" s="292"/>
      <c r="N22" s="4"/>
      <c r="O22" s="4"/>
    </row>
    <row r="23" spans="1:15" s="11" customFormat="1" x14ac:dyDescent="0.25">
      <c r="B23" s="4" t="s">
        <v>54</v>
      </c>
      <c r="C23" s="94">
        <v>0</v>
      </c>
      <c r="D23" s="94">
        <v>0</v>
      </c>
      <c r="E23" s="120">
        <v>0</v>
      </c>
      <c r="F23" s="4">
        <f>F7</f>
        <v>0</v>
      </c>
      <c r="G23" s="4">
        <f t="shared" ref="G23:J23" si="17">G7</f>
        <v>0</v>
      </c>
      <c r="H23" s="4">
        <f t="shared" si="17"/>
        <v>0</v>
      </c>
      <c r="I23" s="4">
        <f t="shared" si="17"/>
        <v>0</v>
      </c>
      <c r="J23" s="4">
        <f t="shared" si="17"/>
        <v>0</v>
      </c>
      <c r="K23" s="292"/>
      <c r="L23" s="292"/>
      <c r="M23" s="292"/>
      <c r="N23" s="4"/>
      <c r="O23" s="4"/>
    </row>
    <row r="24" spans="1:15" s="122" customFormat="1" x14ac:dyDescent="0.25">
      <c r="A24" s="122" t="s">
        <v>125</v>
      </c>
      <c r="B24" s="123" t="s">
        <v>53</v>
      </c>
      <c r="C24" s="124">
        <f>C19+C22</f>
        <v>6618</v>
      </c>
      <c r="D24" s="124">
        <f t="shared" ref="D24:J24" si="18">D19+D22</f>
        <v>7107</v>
      </c>
      <c r="E24" s="124">
        <f t="shared" si="18"/>
        <v>4477</v>
      </c>
      <c r="F24" s="124">
        <f t="shared" si="18"/>
        <v>3586.706577341869</v>
      </c>
      <c r="G24" s="124">
        <f t="shared" si="18"/>
        <v>4264.3477795271083</v>
      </c>
      <c r="H24" s="124">
        <f t="shared" si="18"/>
        <v>5043.622007151911</v>
      </c>
      <c r="I24" s="124">
        <f t="shared" si="18"/>
        <v>5942.9607204904396</v>
      </c>
      <c r="J24" s="370">
        <f t="shared" si="18"/>
        <v>6986.6160942062952</v>
      </c>
      <c r="K24" s="306"/>
      <c r="L24" s="306"/>
      <c r="M24" s="306"/>
    </row>
    <row r="25" spans="1:15" s="11" customFormat="1" x14ac:dyDescent="0.25">
      <c r="C25" s="14"/>
      <c r="D25" s="4"/>
      <c r="E25" s="38"/>
      <c r="F25" s="4"/>
      <c r="G25" s="14"/>
      <c r="H25" s="14"/>
      <c r="I25" s="14"/>
      <c r="J25" s="14"/>
      <c r="K25" s="307"/>
      <c r="L25" s="307"/>
      <c r="M25" s="307"/>
      <c r="N25" s="14"/>
      <c r="O25" s="14"/>
    </row>
    <row r="26" spans="1:15" s="11" customFormat="1" x14ac:dyDescent="0.25">
      <c r="B26" s="4" t="s">
        <v>56</v>
      </c>
      <c r="C26" s="92">
        <v>0</v>
      </c>
      <c r="D26" s="92">
        <v>0</v>
      </c>
      <c r="E26" s="93">
        <v>0</v>
      </c>
      <c r="F26" s="4">
        <f>F8</f>
        <v>20</v>
      </c>
      <c r="G26" s="4">
        <f t="shared" ref="G26:J26" si="19">G8</f>
        <v>0</v>
      </c>
      <c r="H26" s="4">
        <f t="shared" si="19"/>
        <v>0</v>
      </c>
      <c r="I26" s="4">
        <f t="shared" si="19"/>
        <v>0</v>
      </c>
      <c r="J26" s="4">
        <f t="shared" si="19"/>
        <v>0</v>
      </c>
      <c r="K26" s="292"/>
      <c r="L26" s="292"/>
      <c r="M26" s="292"/>
      <c r="N26" s="4"/>
      <c r="O26" s="4"/>
    </row>
    <row r="27" spans="1:15" s="11" customFormat="1" x14ac:dyDescent="0.25">
      <c r="B27" s="4" t="s">
        <v>57</v>
      </c>
      <c r="C27" s="92">
        <v>280</v>
      </c>
      <c r="D27" s="92">
        <v>228</v>
      </c>
      <c r="E27" s="93">
        <v>76</v>
      </c>
      <c r="F27" s="4">
        <f>F9</f>
        <v>0</v>
      </c>
      <c r="G27" s="4">
        <f t="shared" ref="G27:J27" si="20">G9</f>
        <v>0</v>
      </c>
      <c r="H27" s="4">
        <f t="shared" si="20"/>
        <v>0</v>
      </c>
      <c r="I27" s="4">
        <f t="shared" si="20"/>
        <v>0</v>
      </c>
      <c r="J27" s="4">
        <f t="shared" si="20"/>
        <v>0</v>
      </c>
      <c r="K27" s="292"/>
      <c r="L27" s="292"/>
      <c r="M27" s="292"/>
      <c r="N27" s="4"/>
      <c r="O27" s="4"/>
    </row>
    <row r="28" spans="1:15" s="11" customFormat="1" x14ac:dyDescent="0.25">
      <c r="B28" s="4"/>
      <c r="C28" s="10"/>
      <c r="D28" s="10"/>
      <c r="E28" s="24"/>
      <c r="F28" s="4"/>
      <c r="G28" s="4"/>
      <c r="H28" s="4"/>
      <c r="I28" s="4"/>
      <c r="J28" s="4"/>
      <c r="K28" s="292"/>
      <c r="L28" s="292"/>
      <c r="M28" s="292"/>
      <c r="N28" s="4"/>
      <c r="O28" s="4"/>
    </row>
    <row r="29" spans="1:15" s="11" customFormat="1" x14ac:dyDescent="0.25">
      <c r="B29" s="4" t="s">
        <v>41</v>
      </c>
      <c r="C29" s="9">
        <v>6</v>
      </c>
      <c r="D29" s="9">
        <v>161</v>
      </c>
      <c r="E29" s="47">
        <v>107</v>
      </c>
      <c r="F29" s="284"/>
      <c r="G29" s="284"/>
      <c r="H29" s="284"/>
      <c r="I29" s="284"/>
      <c r="J29" s="284"/>
      <c r="K29" s="180"/>
      <c r="L29" s="180"/>
      <c r="M29" s="180"/>
      <c r="N29" s="180"/>
      <c r="O29" s="180"/>
    </row>
    <row r="30" spans="1:15" x14ac:dyDescent="0.25">
      <c r="B30" s="4" t="s">
        <v>33</v>
      </c>
      <c r="C30" s="9">
        <v>0</v>
      </c>
      <c r="D30" s="9">
        <v>0</v>
      </c>
      <c r="E30" s="47">
        <v>0</v>
      </c>
      <c r="F30" s="284"/>
      <c r="G30" s="284"/>
      <c r="H30" s="284"/>
      <c r="I30" s="284"/>
      <c r="J30" s="284"/>
      <c r="K30" s="180"/>
      <c r="L30" s="180"/>
      <c r="M30" s="180"/>
      <c r="N30" s="180"/>
      <c r="O30" s="180"/>
    </row>
    <row r="31" spans="1:15" x14ac:dyDescent="0.25">
      <c r="C31" s="10"/>
      <c r="D31" s="10"/>
      <c r="E31" s="24"/>
      <c r="H31" s="4"/>
    </row>
    <row r="32" spans="1:15" s="11" customFormat="1" x14ac:dyDescent="0.25">
      <c r="A32" s="11" t="s">
        <v>125</v>
      </c>
      <c r="B32" s="18" t="s">
        <v>86</v>
      </c>
      <c r="C32" s="19">
        <f t="shared" ref="C32:D32" si="21">C19+SUM(C27:C30)</f>
        <v>6201</v>
      </c>
      <c r="D32" s="19">
        <f t="shared" si="21"/>
        <v>6700</v>
      </c>
      <c r="E32" s="19">
        <f>E19+SUM(E26:E30)</f>
        <v>3885</v>
      </c>
      <c r="F32" s="19">
        <f t="shared" ref="F32:J32" si="22">F19+SUM(F26:F30)</f>
        <v>2858.3665773418688</v>
      </c>
      <c r="G32" s="19">
        <f t="shared" si="22"/>
        <v>3533.1305725460988</v>
      </c>
      <c r="H32" s="19">
        <f t="shared" si="22"/>
        <v>4320.7868869473095</v>
      </c>
      <c r="I32" s="19">
        <f t="shared" si="22"/>
        <v>5220.2782039021331</v>
      </c>
      <c r="J32" s="20">
        <f t="shared" si="22"/>
        <v>6256.1417171202556</v>
      </c>
      <c r="K32" s="300"/>
      <c r="L32" s="300"/>
      <c r="M32" s="300"/>
    </row>
    <row r="33" spans="1:15" x14ac:dyDescent="0.25">
      <c r="E33" s="39"/>
      <c r="H33" s="4"/>
    </row>
    <row r="34" spans="1:15" x14ac:dyDescent="0.25">
      <c r="B34" s="4" t="s">
        <v>58</v>
      </c>
      <c r="C34" s="285">
        <v>1131</v>
      </c>
      <c r="D34" s="94">
        <v>1000</v>
      </c>
      <c r="E34" s="120">
        <v>666</v>
      </c>
      <c r="F34" s="4">
        <f>F32*F10</f>
        <v>571.67331546837374</v>
      </c>
      <c r="G34" s="4">
        <f t="shared" ref="G34:J34" si="23">G32*G10</f>
        <v>706.62611450921986</v>
      </c>
      <c r="H34" s="4">
        <f t="shared" si="23"/>
        <v>864.157377389462</v>
      </c>
      <c r="I34" s="4">
        <f t="shared" si="23"/>
        <v>1044.0556407804268</v>
      </c>
      <c r="J34" s="4">
        <f t="shared" si="23"/>
        <v>1251.2283434240512</v>
      </c>
    </row>
    <row r="35" spans="1:15" s="11" customFormat="1" x14ac:dyDescent="0.25">
      <c r="A35" s="11" t="s">
        <v>125</v>
      </c>
      <c r="B35" s="18" t="s">
        <v>59</v>
      </c>
      <c r="C35" s="19">
        <f>C32-C34</f>
        <v>5070</v>
      </c>
      <c r="D35" s="36">
        <f t="shared" ref="D35:J35" si="24">D32-D34</f>
        <v>5700</v>
      </c>
      <c r="E35" s="19">
        <f t="shared" si="24"/>
        <v>3219</v>
      </c>
      <c r="F35" s="19">
        <f t="shared" si="24"/>
        <v>2286.693261873495</v>
      </c>
      <c r="G35" s="36">
        <f t="shared" si="24"/>
        <v>2826.504458036879</v>
      </c>
      <c r="H35" s="19">
        <f t="shared" si="24"/>
        <v>3456.6295095578475</v>
      </c>
      <c r="I35" s="19">
        <f t="shared" si="24"/>
        <v>4176.2225631217061</v>
      </c>
      <c r="J35" s="20">
        <f t="shared" si="24"/>
        <v>5004.9133736962049</v>
      </c>
      <c r="K35" s="300"/>
      <c r="L35" s="300"/>
      <c r="M35" s="300"/>
    </row>
    <row r="36" spans="1:15" x14ac:dyDescent="0.25">
      <c r="B36" s="4" t="s">
        <v>175</v>
      </c>
      <c r="C36" s="189">
        <f t="shared" ref="C36:D36" si="25">C37/C35</f>
        <v>0.39684418145956607</v>
      </c>
      <c r="D36" s="324">
        <f t="shared" si="25"/>
        <v>0.38052631578947366</v>
      </c>
      <c r="E36" s="190">
        <f>E37/E35</f>
        <v>0.71450761105933525</v>
      </c>
      <c r="F36" s="372">
        <f>F37/F35</f>
        <v>0.98211143250768584</v>
      </c>
      <c r="G36" s="377">
        <f t="shared" ref="G36:J36" si="26">G37/G35</f>
        <v>0.77536590611664513</v>
      </c>
      <c r="H36" s="372">
        <f t="shared" si="26"/>
        <v>0.63402085302709676</v>
      </c>
      <c r="I36" s="372">
        <f t="shared" si="26"/>
        <v>0.52477451982595247</v>
      </c>
      <c r="J36" s="372">
        <f t="shared" si="26"/>
        <v>0.43788473977722214</v>
      </c>
      <c r="K36" s="304"/>
      <c r="L36" s="304"/>
      <c r="M36" s="304"/>
    </row>
    <row r="37" spans="1:15" x14ac:dyDescent="0.25">
      <c r="B37" s="4" t="s">
        <v>60</v>
      </c>
      <c r="C37" s="10">
        <v>2012</v>
      </c>
      <c r="D37" s="10">
        <v>2169</v>
      </c>
      <c r="E37" s="24">
        <v>2300</v>
      </c>
      <c r="F37" s="4">
        <f>F39*Assumptions!F38</f>
        <v>2245.7875951242509</v>
      </c>
      <c r="G37" s="4">
        <f>G39*Assumptions!G38</f>
        <v>2191.5751902485017</v>
      </c>
      <c r="H37" s="4">
        <f>H39*Assumptions!H38</f>
        <v>2191.5751902485017</v>
      </c>
      <c r="I37" s="4">
        <f>I39*Assumptions!I38</f>
        <v>2191.5751902485017</v>
      </c>
      <c r="J37" s="4">
        <f>J39*Assumptions!J38</f>
        <v>2191.5751902485017</v>
      </c>
    </row>
    <row r="38" spans="1:15" x14ac:dyDescent="0.25">
      <c r="A38" s="22" t="s">
        <v>61</v>
      </c>
      <c r="B38" s="21"/>
      <c r="C38" s="247">
        <f>C15</f>
        <v>2023</v>
      </c>
      <c r="D38" s="247">
        <f t="shared" ref="D38:M38" si="27">D15</f>
        <v>2024</v>
      </c>
      <c r="E38" s="247">
        <f t="shared" si="27"/>
        <v>2025</v>
      </c>
      <c r="F38" s="247">
        <f t="shared" si="27"/>
        <v>2026</v>
      </c>
      <c r="G38" s="247">
        <f t="shared" si="27"/>
        <v>2027</v>
      </c>
      <c r="H38" s="247">
        <f t="shared" si="27"/>
        <v>2028</v>
      </c>
      <c r="I38" s="247">
        <f t="shared" si="27"/>
        <v>2029</v>
      </c>
      <c r="J38" s="247">
        <f t="shared" si="27"/>
        <v>2030</v>
      </c>
      <c r="K38" s="289"/>
      <c r="L38" s="289"/>
      <c r="M38" s="289"/>
      <c r="N38" s="204"/>
      <c r="O38" s="204"/>
    </row>
    <row r="39" spans="1:15" x14ac:dyDescent="0.25">
      <c r="B39" s="4" t="s">
        <v>49</v>
      </c>
      <c r="C39" s="10">
        <v>1551.6</v>
      </c>
      <c r="D39" s="10">
        <v>1517.6</v>
      </c>
      <c r="E39" s="24">
        <v>1484.9</v>
      </c>
      <c r="F39" s="170">
        <f>F12</f>
        <v>1449.9</v>
      </c>
      <c r="G39" s="170">
        <f t="shared" ref="G39:J39" si="28">G12</f>
        <v>1414.9</v>
      </c>
      <c r="H39" s="170">
        <f t="shared" si="28"/>
        <v>1414.9</v>
      </c>
      <c r="I39" s="170">
        <f t="shared" si="28"/>
        <v>1414.9</v>
      </c>
      <c r="J39" s="170">
        <f t="shared" si="28"/>
        <v>1414.9</v>
      </c>
      <c r="K39" s="208"/>
      <c r="L39" s="208"/>
      <c r="M39" s="208"/>
      <c r="N39" s="208"/>
      <c r="O39" s="208"/>
    </row>
    <row r="40" spans="1:15" x14ac:dyDescent="0.25">
      <c r="B40" s="4" t="s">
        <v>50</v>
      </c>
      <c r="C40" s="10">
        <v>1569.8</v>
      </c>
      <c r="D40" s="10">
        <v>1529.7</v>
      </c>
      <c r="E40" s="24">
        <v>1487.6</v>
      </c>
      <c r="F40" s="170">
        <f>F13</f>
        <v>1487.6</v>
      </c>
      <c r="G40" s="170">
        <f t="shared" ref="G40:J40" si="29">G13</f>
        <v>1487.6</v>
      </c>
      <c r="H40" s="170">
        <f t="shared" si="29"/>
        <v>1487.6</v>
      </c>
      <c r="I40" s="170">
        <f t="shared" si="29"/>
        <v>1487.6</v>
      </c>
      <c r="J40" s="170">
        <f t="shared" si="29"/>
        <v>1487.6</v>
      </c>
      <c r="K40" s="208"/>
      <c r="L40" s="208"/>
      <c r="M40" s="208"/>
      <c r="N40" s="208"/>
      <c r="O40" s="208"/>
    </row>
    <row r="41" spans="1:15" x14ac:dyDescent="0.25">
      <c r="B41" s="4" t="s">
        <v>62</v>
      </c>
      <c r="C41" s="177">
        <f>$C$35/C39</f>
        <v>3.2675947409126067</v>
      </c>
      <c r="D41" s="177">
        <f>$D$35/D39</f>
        <v>3.755930416447022</v>
      </c>
      <c r="E41" s="178">
        <f>$E$35/E39</f>
        <v>2.167822749006667</v>
      </c>
      <c r="F41" s="371">
        <f>F35/F39</f>
        <v>1.5771386039544071</v>
      </c>
      <c r="G41" s="371">
        <f t="shared" ref="G41:J41" si="30">G35/G39</f>
        <v>1.9976708304734461</v>
      </c>
      <c r="H41" s="371">
        <f t="shared" si="30"/>
        <v>2.4430203615505319</v>
      </c>
      <c r="I41" s="371">
        <f t="shared" si="30"/>
        <v>2.95160263136738</v>
      </c>
      <c r="J41" s="371">
        <f t="shared" si="30"/>
        <v>3.5372912387421049</v>
      </c>
      <c r="K41" s="208"/>
      <c r="L41" s="208"/>
      <c r="M41" s="208"/>
      <c r="N41" s="208"/>
      <c r="O41" s="208"/>
    </row>
    <row r="42" spans="1:15" s="11" customFormat="1" x14ac:dyDescent="0.25">
      <c r="A42" s="11" t="s">
        <v>125</v>
      </c>
      <c r="B42" s="18" t="s">
        <v>63</v>
      </c>
      <c r="C42" s="176">
        <f>$C$35/C40</f>
        <v>3.2297107911835905</v>
      </c>
      <c r="D42" s="286">
        <f>$D$35/D40</f>
        <v>3.7262208276132576</v>
      </c>
      <c r="E42" s="286">
        <f>$E$35/E40</f>
        <v>2.1638881419736489</v>
      </c>
      <c r="F42" s="286">
        <f>F35/F40</f>
        <v>1.5371694419692761</v>
      </c>
      <c r="G42" s="286">
        <f t="shared" ref="G42:J42" si="31">G35/G40</f>
        <v>1.9000433302210804</v>
      </c>
      <c r="H42" s="286">
        <f t="shared" si="31"/>
        <v>2.3236283339324064</v>
      </c>
      <c r="I42" s="286">
        <f t="shared" si="31"/>
        <v>2.8073558504448148</v>
      </c>
      <c r="J42" s="286">
        <f t="shared" si="31"/>
        <v>3.3644214665879302</v>
      </c>
      <c r="K42" s="308"/>
      <c r="L42" s="308"/>
      <c r="M42" s="308"/>
      <c r="N42" s="213"/>
      <c r="O42" s="213"/>
    </row>
    <row r="43" spans="1:15" x14ac:dyDescent="0.25">
      <c r="C43" s="15"/>
      <c r="D43" s="40"/>
      <c r="E43" s="40"/>
      <c r="F43" s="40"/>
      <c r="G43" s="40"/>
      <c r="H43" s="40"/>
      <c r="I43" s="40"/>
      <c r="J43" s="40"/>
    </row>
    <row r="44" spans="1:15" x14ac:dyDescent="0.25">
      <c r="D44" s="15"/>
      <c r="E44" s="15"/>
      <c r="F44" s="15"/>
    </row>
  </sheetData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&amp;L&amp;8&amp;F &amp;A</oddHeader>
    <oddFooter>&amp;R&amp;8&amp;P of &amp;N&amp;L&amp;8© AMT Training 2008 - 2017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pageSetUpPr autoPageBreaks="0" fitToPage="1"/>
  </sheetPr>
  <dimension ref="A1:O52"/>
  <sheetViews>
    <sheetView showGridLines="0" zoomScaleNormal="100" workbookViewId="0">
      <selection activeCell="G36" sqref="G36"/>
    </sheetView>
  </sheetViews>
  <sheetFormatPr defaultColWidth="8.85546875" defaultRowHeight="15" x14ac:dyDescent="0.25"/>
  <cols>
    <col min="1" max="1" width="1.7109375" style="4" customWidth="1"/>
    <col min="2" max="2" width="42.85546875" style="4" customWidth="1"/>
    <col min="3" max="8" width="11.7109375" style="4" customWidth="1"/>
    <col min="9" max="10" width="11.7109375" style="6" customWidth="1"/>
    <col min="11" max="13" width="11.7109375" style="292" customWidth="1"/>
    <col min="14" max="256" width="8.85546875" style="4"/>
    <col min="257" max="257" width="1.7109375" style="4" customWidth="1"/>
    <col min="258" max="258" width="42.85546875" style="4" customWidth="1"/>
    <col min="259" max="264" width="10.7109375" style="4" customWidth="1"/>
    <col min="265" max="266" width="9.42578125" style="4" bestFit="1" customWidth="1"/>
    <col min="267" max="512" width="8.85546875" style="4"/>
    <col min="513" max="513" width="1.7109375" style="4" customWidth="1"/>
    <col min="514" max="514" width="42.85546875" style="4" customWidth="1"/>
    <col min="515" max="520" width="10.7109375" style="4" customWidth="1"/>
    <col min="521" max="522" width="9.42578125" style="4" bestFit="1" customWidth="1"/>
    <col min="523" max="768" width="8.85546875" style="4"/>
    <col min="769" max="769" width="1.7109375" style="4" customWidth="1"/>
    <col min="770" max="770" width="42.85546875" style="4" customWidth="1"/>
    <col min="771" max="776" width="10.7109375" style="4" customWidth="1"/>
    <col min="777" max="778" width="9.42578125" style="4" bestFit="1" customWidth="1"/>
    <col min="779" max="1024" width="8.85546875" style="4"/>
    <col min="1025" max="1025" width="1.7109375" style="4" customWidth="1"/>
    <col min="1026" max="1026" width="42.85546875" style="4" customWidth="1"/>
    <col min="1027" max="1032" width="10.7109375" style="4" customWidth="1"/>
    <col min="1033" max="1034" width="9.42578125" style="4" bestFit="1" customWidth="1"/>
    <col min="1035" max="1280" width="8.85546875" style="4"/>
    <col min="1281" max="1281" width="1.7109375" style="4" customWidth="1"/>
    <col min="1282" max="1282" width="42.85546875" style="4" customWidth="1"/>
    <col min="1283" max="1288" width="10.7109375" style="4" customWidth="1"/>
    <col min="1289" max="1290" width="9.42578125" style="4" bestFit="1" customWidth="1"/>
    <col min="1291" max="1536" width="8.85546875" style="4"/>
    <col min="1537" max="1537" width="1.7109375" style="4" customWidth="1"/>
    <col min="1538" max="1538" width="42.85546875" style="4" customWidth="1"/>
    <col min="1539" max="1544" width="10.7109375" style="4" customWidth="1"/>
    <col min="1545" max="1546" width="9.42578125" style="4" bestFit="1" customWidth="1"/>
    <col min="1547" max="1792" width="8.85546875" style="4"/>
    <col min="1793" max="1793" width="1.7109375" style="4" customWidth="1"/>
    <col min="1794" max="1794" width="42.85546875" style="4" customWidth="1"/>
    <col min="1795" max="1800" width="10.7109375" style="4" customWidth="1"/>
    <col min="1801" max="1802" width="9.42578125" style="4" bestFit="1" customWidth="1"/>
    <col min="1803" max="2048" width="8.85546875" style="4"/>
    <col min="2049" max="2049" width="1.7109375" style="4" customWidth="1"/>
    <col min="2050" max="2050" width="42.85546875" style="4" customWidth="1"/>
    <col min="2051" max="2056" width="10.7109375" style="4" customWidth="1"/>
    <col min="2057" max="2058" width="9.42578125" style="4" bestFit="1" customWidth="1"/>
    <col min="2059" max="2304" width="8.85546875" style="4"/>
    <col min="2305" max="2305" width="1.7109375" style="4" customWidth="1"/>
    <col min="2306" max="2306" width="42.85546875" style="4" customWidth="1"/>
    <col min="2307" max="2312" width="10.7109375" style="4" customWidth="1"/>
    <col min="2313" max="2314" width="9.42578125" style="4" bestFit="1" customWidth="1"/>
    <col min="2315" max="2560" width="8.85546875" style="4"/>
    <col min="2561" max="2561" width="1.7109375" style="4" customWidth="1"/>
    <col min="2562" max="2562" width="42.85546875" style="4" customWidth="1"/>
    <col min="2563" max="2568" width="10.7109375" style="4" customWidth="1"/>
    <col min="2569" max="2570" width="9.42578125" style="4" bestFit="1" customWidth="1"/>
    <col min="2571" max="2816" width="8.85546875" style="4"/>
    <col min="2817" max="2817" width="1.7109375" style="4" customWidth="1"/>
    <col min="2818" max="2818" width="42.85546875" style="4" customWidth="1"/>
    <col min="2819" max="2824" width="10.7109375" style="4" customWidth="1"/>
    <col min="2825" max="2826" width="9.42578125" style="4" bestFit="1" customWidth="1"/>
    <col min="2827" max="3072" width="8.85546875" style="4"/>
    <col min="3073" max="3073" width="1.7109375" style="4" customWidth="1"/>
    <col min="3074" max="3074" width="42.85546875" style="4" customWidth="1"/>
    <col min="3075" max="3080" width="10.7109375" style="4" customWidth="1"/>
    <col min="3081" max="3082" width="9.42578125" style="4" bestFit="1" customWidth="1"/>
    <col min="3083" max="3328" width="8.85546875" style="4"/>
    <col min="3329" max="3329" width="1.7109375" style="4" customWidth="1"/>
    <col min="3330" max="3330" width="42.85546875" style="4" customWidth="1"/>
    <col min="3331" max="3336" width="10.7109375" style="4" customWidth="1"/>
    <col min="3337" max="3338" width="9.42578125" style="4" bestFit="1" customWidth="1"/>
    <col min="3339" max="3584" width="8.85546875" style="4"/>
    <col min="3585" max="3585" width="1.7109375" style="4" customWidth="1"/>
    <col min="3586" max="3586" width="42.85546875" style="4" customWidth="1"/>
    <col min="3587" max="3592" width="10.7109375" style="4" customWidth="1"/>
    <col min="3593" max="3594" width="9.42578125" style="4" bestFit="1" customWidth="1"/>
    <col min="3595" max="3840" width="8.85546875" style="4"/>
    <col min="3841" max="3841" width="1.7109375" style="4" customWidth="1"/>
    <col min="3842" max="3842" width="42.85546875" style="4" customWidth="1"/>
    <col min="3843" max="3848" width="10.7109375" style="4" customWidth="1"/>
    <col min="3849" max="3850" width="9.42578125" style="4" bestFit="1" customWidth="1"/>
    <col min="3851" max="4096" width="8.85546875" style="4"/>
    <col min="4097" max="4097" width="1.7109375" style="4" customWidth="1"/>
    <col min="4098" max="4098" width="42.85546875" style="4" customWidth="1"/>
    <col min="4099" max="4104" width="10.7109375" style="4" customWidth="1"/>
    <col min="4105" max="4106" width="9.42578125" style="4" bestFit="1" customWidth="1"/>
    <col min="4107" max="4352" width="8.85546875" style="4"/>
    <col min="4353" max="4353" width="1.7109375" style="4" customWidth="1"/>
    <col min="4354" max="4354" width="42.85546875" style="4" customWidth="1"/>
    <col min="4355" max="4360" width="10.7109375" style="4" customWidth="1"/>
    <col min="4361" max="4362" width="9.42578125" style="4" bestFit="1" customWidth="1"/>
    <col min="4363" max="4608" width="8.85546875" style="4"/>
    <col min="4609" max="4609" width="1.7109375" style="4" customWidth="1"/>
    <col min="4610" max="4610" width="42.85546875" style="4" customWidth="1"/>
    <col min="4611" max="4616" width="10.7109375" style="4" customWidth="1"/>
    <col min="4617" max="4618" width="9.42578125" style="4" bestFit="1" customWidth="1"/>
    <col min="4619" max="4864" width="8.85546875" style="4"/>
    <col min="4865" max="4865" width="1.7109375" style="4" customWidth="1"/>
    <col min="4866" max="4866" width="42.85546875" style="4" customWidth="1"/>
    <col min="4867" max="4872" width="10.7109375" style="4" customWidth="1"/>
    <col min="4873" max="4874" width="9.42578125" style="4" bestFit="1" customWidth="1"/>
    <col min="4875" max="5120" width="8.85546875" style="4"/>
    <col min="5121" max="5121" width="1.7109375" style="4" customWidth="1"/>
    <col min="5122" max="5122" width="42.85546875" style="4" customWidth="1"/>
    <col min="5123" max="5128" width="10.7109375" style="4" customWidth="1"/>
    <col min="5129" max="5130" width="9.42578125" style="4" bestFit="1" customWidth="1"/>
    <col min="5131" max="5376" width="8.85546875" style="4"/>
    <col min="5377" max="5377" width="1.7109375" style="4" customWidth="1"/>
    <col min="5378" max="5378" width="42.85546875" style="4" customWidth="1"/>
    <col min="5379" max="5384" width="10.7109375" style="4" customWidth="1"/>
    <col min="5385" max="5386" width="9.42578125" style="4" bestFit="1" customWidth="1"/>
    <col min="5387" max="5632" width="8.85546875" style="4"/>
    <col min="5633" max="5633" width="1.7109375" style="4" customWidth="1"/>
    <col min="5634" max="5634" width="42.85546875" style="4" customWidth="1"/>
    <col min="5635" max="5640" width="10.7109375" style="4" customWidth="1"/>
    <col min="5641" max="5642" width="9.42578125" style="4" bestFit="1" customWidth="1"/>
    <col min="5643" max="5888" width="8.85546875" style="4"/>
    <col min="5889" max="5889" width="1.7109375" style="4" customWidth="1"/>
    <col min="5890" max="5890" width="42.85546875" style="4" customWidth="1"/>
    <col min="5891" max="5896" width="10.7109375" style="4" customWidth="1"/>
    <col min="5897" max="5898" width="9.42578125" style="4" bestFit="1" customWidth="1"/>
    <col min="5899" max="6144" width="8.85546875" style="4"/>
    <col min="6145" max="6145" width="1.7109375" style="4" customWidth="1"/>
    <col min="6146" max="6146" width="42.85546875" style="4" customWidth="1"/>
    <col min="6147" max="6152" width="10.7109375" style="4" customWidth="1"/>
    <col min="6153" max="6154" width="9.42578125" style="4" bestFit="1" customWidth="1"/>
    <col min="6155" max="6400" width="8.85546875" style="4"/>
    <col min="6401" max="6401" width="1.7109375" style="4" customWidth="1"/>
    <col min="6402" max="6402" width="42.85546875" style="4" customWidth="1"/>
    <col min="6403" max="6408" width="10.7109375" style="4" customWidth="1"/>
    <col min="6409" max="6410" width="9.42578125" style="4" bestFit="1" customWidth="1"/>
    <col min="6411" max="6656" width="8.85546875" style="4"/>
    <col min="6657" max="6657" width="1.7109375" style="4" customWidth="1"/>
    <col min="6658" max="6658" width="42.85546875" style="4" customWidth="1"/>
    <col min="6659" max="6664" width="10.7109375" style="4" customWidth="1"/>
    <col min="6665" max="6666" width="9.42578125" style="4" bestFit="1" customWidth="1"/>
    <col min="6667" max="6912" width="8.85546875" style="4"/>
    <col min="6913" max="6913" width="1.7109375" style="4" customWidth="1"/>
    <col min="6914" max="6914" width="42.85546875" style="4" customWidth="1"/>
    <col min="6915" max="6920" width="10.7109375" style="4" customWidth="1"/>
    <col min="6921" max="6922" width="9.42578125" style="4" bestFit="1" customWidth="1"/>
    <col min="6923" max="7168" width="8.85546875" style="4"/>
    <col min="7169" max="7169" width="1.7109375" style="4" customWidth="1"/>
    <col min="7170" max="7170" width="42.85546875" style="4" customWidth="1"/>
    <col min="7171" max="7176" width="10.7109375" style="4" customWidth="1"/>
    <col min="7177" max="7178" width="9.42578125" style="4" bestFit="1" customWidth="1"/>
    <col min="7179" max="7424" width="8.85546875" style="4"/>
    <col min="7425" max="7425" width="1.7109375" style="4" customWidth="1"/>
    <col min="7426" max="7426" width="42.85546875" style="4" customWidth="1"/>
    <col min="7427" max="7432" width="10.7109375" style="4" customWidth="1"/>
    <col min="7433" max="7434" width="9.42578125" style="4" bestFit="1" customWidth="1"/>
    <col min="7435" max="7680" width="8.85546875" style="4"/>
    <col min="7681" max="7681" width="1.7109375" style="4" customWidth="1"/>
    <col min="7682" max="7682" width="42.85546875" style="4" customWidth="1"/>
    <col min="7683" max="7688" width="10.7109375" style="4" customWidth="1"/>
    <col min="7689" max="7690" width="9.42578125" style="4" bestFit="1" customWidth="1"/>
    <col min="7691" max="7936" width="8.85546875" style="4"/>
    <col min="7937" max="7937" width="1.7109375" style="4" customWidth="1"/>
    <col min="7938" max="7938" width="42.85546875" style="4" customWidth="1"/>
    <col min="7939" max="7944" width="10.7109375" style="4" customWidth="1"/>
    <col min="7945" max="7946" width="9.42578125" style="4" bestFit="1" customWidth="1"/>
    <col min="7947" max="8192" width="8.85546875" style="4"/>
    <col min="8193" max="8193" width="1.7109375" style="4" customWidth="1"/>
    <col min="8194" max="8194" width="42.85546875" style="4" customWidth="1"/>
    <col min="8195" max="8200" width="10.7109375" style="4" customWidth="1"/>
    <col min="8201" max="8202" width="9.42578125" style="4" bestFit="1" customWidth="1"/>
    <col min="8203" max="8448" width="8.85546875" style="4"/>
    <col min="8449" max="8449" width="1.7109375" style="4" customWidth="1"/>
    <col min="8450" max="8450" width="42.85546875" style="4" customWidth="1"/>
    <col min="8451" max="8456" width="10.7109375" style="4" customWidth="1"/>
    <col min="8457" max="8458" width="9.42578125" style="4" bestFit="1" customWidth="1"/>
    <col min="8459" max="8704" width="8.85546875" style="4"/>
    <col min="8705" max="8705" width="1.7109375" style="4" customWidth="1"/>
    <col min="8706" max="8706" width="42.85546875" style="4" customWidth="1"/>
    <col min="8707" max="8712" width="10.7109375" style="4" customWidth="1"/>
    <col min="8713" max="8714" width="9.42578125" style="4" bestFit="1" customWidth="1"/>
    <col min="8715" max="8960" width="8.85546875" style="4"/>
    <col min="8961" max="8961" width="1.7109375" style="4" customWidth="1"/>
    <col min="8962" max="8962" width="42.85546875" style="4" customWidth="1"/>
    <col min="8963" max="8968" width="10.7109375" style="4" customWidth="1"/>
    <col min="8969" max="8970" width="9.42578125" style="4" bestFit="1" customWidth="1"/>
    <col min="8971" max="9216" width="8.85546875" style="4"/>
    <col min="9217" max="9217" width="1.7109375" style="4" customWidth="1"/>
    <col min="9218" max="9218" width="42.85546875" style="4" customWidth="1"/>
    <col min="9219" max="9224" width="10.7109375" style="4" customWidth="1"/>
    <col min="9225" max="9226" width="9.42578125" style="4" bestFit="1" customWidth="1"/>
    <col min="9227" max="9472" width="8.85546875" style="4"/>
    <col min="9473" max="9473" width="1.7109375" style="4" customWidth="1"/>
    <col min="9474" max="9474" width="42.85546875" style="4" customWidth="1"/>
    <col min="9475" max="9480" width="10.7109375" style="4" customWidth="1"/>
    <col min="9481" max="9482" width="9.42578125" style="4" bestFit="1" customWidth="1"/>
    <col min="9483" max="9728" width="8.85546875" style="4"/>
    <col min="9729" max="9729" width="1.7109375" style="4" customWidth="1"/>
    <col min="9730" max="9730" width="42.85546875" style="4" customWidth="1"/>
    <col min="9731" max="9736" width="10.7109375" style="4" customWidth="1"/>
    <col min="9737" max="9738" width="9.42578125" style="4" bestFit="1" customWidth="1"/>
    <col min="9739" max="9984" width="8.85546875" style="4"/>
    <col min="9985" max="9985" width="1.7109375" style="4" customWidth="1"/>
    <col min="9986" max="9986" width="42.85546875" style="4" customWidth="1"/>
    <col min="9987" max="9992" width="10.7109375" style="4" customWidth="1"/>
    <col min="9993" max="9994" width="9.42578125" style="4" bestFit="1" customWidth="1"/>
    <col min="9995" max="10240" width="8.85546875" style="4"/>
    <col min="10241" max="10241" width="1.7109375" style="4" customWidth="1"/>
    <col min="10242" max="10242" width="42.85546875" style="4" customWidth="1"/>
    <col min="10243" max="10248" width="10.7109375" style="4" customWidth="1"/>
    <col min="10249" max="10250" width="9.42578125" style="4" bestFit="1" customWidth="1"/>
    <col min="10251" max="10496" width="8.85546875" style="4"/>
    <col min="10497" max="10497" width="1.7109375" style="4" customWidth="1"/>
    <col min="10498" max="10498" width="42.85546875" style="4" customWidth="1"/>
    <col min="10499" max="10504" width="10.7109375" style="4" customWidth="1"/>
    <col min="10505" max="10506" width="9.42578125" style="4" bestFit="1" customWidth="1"/>
    <col min="10507" max="10752" width="8.85546875" style="4"/>
    <col min="10753" max="10753" width="1.7109375" style="4" customWidth="1"/>
    <col min="10754" max="10754" width="42.85546875" style="4" customWidth="1"/>
    <col min="10755" max="10760" width="10.7109375" style="4" customWidth="1"/>
    <col min="10761" max="10762" width="9.42578125" style="4" bestFit="1" customWidth="1"/>
    <col min="10763" max="11008" width="8.85546875" style="4"/>
    <col min="11009" max="11009" width="1.7109375" style="4" customWidth="1"/>
    <col min="11010" max="11010" width="42.85546875" style="4" customWidth="1"/>
    <col min="11011" max="11016" width="10.7109375" style="4" customWidth="1"/>
    <col min="11017" max="11018" width="9.42578125" style="4" bestFit="1" customWidth="1"/>
    <col min="11019" max="11264" width="8.85546875" style="4"/>
    <col min="11265" max="11265" width="1.7109375" style="4" customWidth="1"/>
    <col min="11266" max="11266" width="42.85546875" style="4" customWidth="1"/>
    <col min="11267" max="11272" width="10.7109375" style="4" customWidth="1"/>
    <col min="11273" max="11274" width="9.42578125" style="4" bestFit="1" customWidth="1"/>
    <col min="11275" max="11520" width="8.85546875" style="4"/>
    <col min="11521" max="11521" width="1.7109375" style="4" customWidth="1"/>
    <col min="11522" max="11522" width="42.85546875" style="4" customWidth="1"/>
    <col min="11523" max="11528" width="10.7109375" style="4" customWidth="1"/>
    <col min="11529" max="11530" width="9.42578125" style="4" bestFit="1" customWidth="1"/>
    <col min="11531" max="11776" width="8.85546875" style="4"/>
    <col min="11777" max="11777" width="1.7109375" style="4" customWidth="1"/>
    <col min="11778" max="11778" width="42.85546875" style="4" customWidth="1"/>
    <col min="11779" max="11784" width="10.7109375" style="4" customWidth="1"/>
    <col min="11785" max="11786" width="9.42578125" style="4" bestFit="1" customWidth="1"/>
    <col min="11787" max="12032" width="8.85546875" style="4"/>
    <col min="12033" max="12033" width="1.7109375" style="4" customWidth="1"/>
    <col min="12034" max="12034" width="42.85546875" style="4" customWidth="1"/>
    <col min="12035" max="12040" width="10.7109375" style="4" customWidth="1"/>
    <col min="12041" max="12042" width="9.42578125" style="4" bestFit="1" customWidth="1"/>
    <col min="12043" max="12288" width="8.85546875" style="4"/>
    <col min="12289" max="12289" width="1.7109375" style="4" customWidth="1"/>
    <col min="12290" max="12290" width="42.85546875" style="4" customWidth="1"/>
    <col min="12291" max="12296" width="10.7109375" style="4" customWidth="1"/>
    <col min="12297" max="12298" width="9.42578125" style="4" bestFit="1" customWidth="1"/>
    <col min="12299" max="12544" width="8.85546875" style="4"/>
    <col min="12545" max="12545" width="1.7109375" style="4" customWidth="1"/>
    <col min="12546" max="12546" width="42.85546875" style="4" customWidth="1"/>
    <col min="12547" max="12552" width="10.7109375" style="4" customWidth="1"/>
    <col min="12553" max="12554" width="9.42578125" style="4" bestFit="1" customWidth="1"/>
    <col min="12555" max="12800" width="8.85546875" style="4"/>
    <col min="12801" max="12801" width="1.7109375" style="4" customWidth="1"/>
    <col min="12802" max="12802" width="42.85546875" style="4" customWidth="1"/>
    <col min="12803" max="12808" width="10.7109375" style="4" customWidth="1"/>
    <col min="12809" max="12810" width="9.42578125" style="4" bestFit="1" customWidth="1"/>
    <col min="12811" max="13056" width="8.85546875" style="4"/>
    <col min="13057" max="13057" width="1.7109375" style="4" customWidth="1"/>
    <col min="13058" max="13058" width="42.85546875" style="4" customWidth="1"/>
    <col min="13059" max="13064" width="10.7109375" style="4" customWidth="1"/>
    <col min="13065" max="13066" width="9.42578125" style="4" bestFit="1" customWidth="1"/>
    <col min="13067" max="13312" width="8.85546875" style="4"/>
    <col min="13313" max="13313" width="1.7109375" style="4" customWidth="1"/>
    <col min="13314" max="13314" width="42.85546875" style="4" customWidth="1"/>
    <col min="13315" max="13320" width="10.7109375" style="4" customWidth="1"/>
    <col min="13321" max="13322" width="9.42578125" style="4" bestFit="1" customWidth="1"/>
    <col min="13323" max="13568" width="8.85546875" style="4"/>
    <col min="13569" max="13569" width="1.7109375" style="4" customWidth="1"/>
    <col min="13570" max="13570" width="42.85546875" style="4" customWidth="1"/>
    <col min="13571" max="13576" width="10.7109375" style="4" customWidth="1"/>
    <col min="13577" max="13578" width="9.42578125" style="4" bestFit="1" customWidth="1"/>
    <col min="13579" max="13824" width="8.85546875" style="4"/>
    <col min="13825" max="13825" width="1.7109375" style="4" customWidth="1"/>
    <col min="13826" max="13826" width="42.85546875" style="4" customWidth="1"/>
    <col min="13827" max="13832" width="10.7109375" style="4" customWidth="1"/>
    <col min="13833" max="13834" width="9.42578125" style="4" bestFit="1" customWidth="1"/>
    <col min="13835" max="14080" width="8.85546875" style="4"/>
    <col min="14081" max="14081" width="1.7109375" style="4" customWidth="1"/>
    <col min="14082" max="14082" width="42.85546875" style="4" customWidth="1"/>
    <col min="14083" max="14088" width="10.7109375" style="4" customWidth="1"/>
    <col min="14089" max="14090" width="9.42578125" style="4" bestFit="1" customWidth="1"/>
    <col min="14091" max="14336" width="8.85546875" style="4"/>
    <col min="14337" max="14337" width="1.7109375" style="4" customWidth="1"/>
    <col min="14338" max="14338" width="42.85546875" style="4" customWidth="1"/>
    <col min="14339" max="14344" width="10.7109375" style="4" customWidth="1"/>
    <col min="14345" max="14346" width="9.42578125" style="4" bestFit="1" customWidth="1"/>
    <col min="14347" max="14592" width="8.85546875" style="4"/>
    <col min="14593" max="14593" width="1.7109375" style="4" customWidth="1"/>
    <col min="14594" max="14594" width="42.85546875" style="4" customWidth="1"/>
    <col min="14595" max="14600" width="10.7109375" style="4" customWidth="1"/>
    <col min="14601" max="14602" width="9.42578125" style="4" bestFit="1" customWidth="1"/>
    <col min="14603" max="14848" width="8.85546875" style="4"/>
    <col min="14849" max="14849" width="1.7109375" style="4" customWidth="1"/>
    <col min="14850" max="14850" width="42.85546875" style="4" customWidth="1"/>
    <col min="14851" max="14856" width="10.7109375" style="4" customWidth="1"/>
    <col min="14857" max="14858" width="9.42578125" style="4" bestFit="1" customWidth="1"/>
    <col min="14859" max="15104" width="8.85546875" style="4"/>
    <col min="15105" max="15105" width="1.7109375" style="4" customWidth="1"/>
    <col min="15106" max="15106" width="42.85546875" style="4" customWidth="1"/>
    <col min="15107" max="15112" width="10.7109375" style="4" customWidth="1"/>
    <col min="15113" max="15114" width="9.42578125" style="4" bestFit="1" customWidth="1"/>
    <col min="15115" max="15360" width="8.85546875" style="4"/>
    <col min="15361" max="15361" width="1.7109375" style="4" customWidth="1"/>
    <col min="15362" max="15362" width="42.85546875" style="4" customWidth="1"/>
    <col min="15363" max="15368" width="10.7109375" style="4" customWidth="1"/>
    <col min="15369" max="15370" width="9.42578125" style="4" bestFit="1" customWidth="1"/>
    <col min="15371" max="15616" width="8.85546875" style="4"/>
    <col min="15617" max="15617" width="1.7109375" style="4" customWidth="1"/>
    <col min="15618" max="15618" width="42.85546875" style="4" customWidth="1"/>
    <col min="15619" max="15624" width="10.7109375" style="4" customWidth="1"/>
    <col min="15625" max="15626" width="9.42578125" style="4" bestFit="1" customWidth="1"/>
    <col min="15627" max="15872" width="8.85546875" style="4"/>
    <col min="15873" max="15873" width="1.7109375" style="4" customWidth="1"/>
    <col min="15874" max="15874" width="42.85546875" style="4" customWidth="1"/>
    <col min="15875" max="15880" width="10.7109375" style="4" customWidth="1"/>
    <col min="15881" max="15882" width="9.42578125" style="4" bestFit="1" customWidth="1"/>
    <col min="15883" max="16128" width="8.85546875" style="4"/>
    <col min="16129" max="16129" width="1.7109375" style="4" customWidth="1"/>
    <col min="16130" max="16130" width="42.85546875" style="4" customWidth="1"/>
    <col min="16131" max="16136" width="10.7109375" style="4" customWidth="1"/>
    <col min="16137" max="16138" width="9.42578125" style="4" bestFit="1" customWidth="1"/>
    <col min="16139" max="16384" width="8.85546875" style="4"/>
  </cols>
  <sheetData>
    <row r="1" spans="1:15" s="2" customFormat="1" ht="19.5" x14ac:dyDescent="0.3">
      <c r="A1" s="272" t="str">
        <f>CoName</f>
        <v>Nike Inc.</v>
      </c>
      <c r="B1" s="3"/>
      <c r="C1" s="43" t="s">
        <v>0</v>
      </c>
      <c r="D1" s="43" t="s">
        <v>0</v>
      </c>
      <c r="E1" s="43" t="s">
        <v>0</v>
      </c>
      <c r="F1" s="43" t="s">
        <v>1</v>
      </c>
      <c r="G1" s="43" t="s">
        <v>1</v>
      </c>
      <c r="H1" s="43" t="s">
        <v>1</v>
      </c>
      <c r="I1" s="43" t="s">
        <v>1</v>
      </c>
      <c r="J1" s="43" t="s">
        <v>1</v>
      </c>
      <c r="K1" s="43"/>
      <c r="L1" s="43"/>
      <c r="M1" s="43"/>
      <c r="N1" s="43"/>
      <c r="O1" s="43"/>
    </row>
    <row r="2" spans="1:15" x14ac:dyDescent="0.25">
      <c r="A2" s="17" t="s">
        <v>10</v>
      </c>
      <c r="B2" s="61"/>
      <c r="C2" s="281">
        <v>2023</v>
      </c>
      <c r="D2" s="281">
        <f>C2+1</f>
        <v>2024</v>
      </c>
      <c r="E2" s="281">
        <f t="shared" ref="E2:M2" si="0">D2+1</f>
        <v>2025</v>
      </c>
      <c r="F2" s="281">
        <f t="shared" si="0"/>
        <v>2026</v>
      </c>
      <c r="G2" s="281">
        <f t="shared" si="0"/>
        <v>2027</v>
      </c>
      <c r="H2" s="281">
        <f t="shared" si="0"/>
        <v>2028</v>
      </c>
      <c r="I2" s="281">
        <f t="shared" si="0"/>
        <v>2029</v>
      </c>
      <c r="J2" s="281">
        <f t="shared" si="0"/>
        <v>2030</v>
      </c>
      <c r="K2" s="314"/>
      <c r="L2" s="314"/>
      <c r="M2" s="314"/>
      <c r="N2" s="214"/>
      <c r="O2" s="214"/>
    </row>
    <row r="3" spans="1:15" x14ac:dyDescent="0.25">
      <c r="K3" s="315"/>
      <c r="L3" s="315"/>
      <c r="M3" s="315"/>
      <c r="N3" s="6"/>
      <c r="O3" s="6"/>
    </row>
    <row r="4" spans="1:15" x14ac:dyDescent="0.25">
      <c r="B4" s="4" t="s">
        <v>154</v>
      </c>
      <c r="C4" s="45">
        <f>C15/IncState!C16</f>
        <v>8.0656813167502978E-2</v>
      </c>
      <c r="D4" s="45">
        <f>D15/IncState!D16</f>
        <v>8.6192126474825742E-2</v>
      </c>
      <c r="E4" s="46">
        <f>E15/IncState!E16</f>
        <v>0.10185924982184888</v>
      </c>
      <c r="F4" s="99">
        <f>Assumptions!F44</f>
        <v>0.10185924982184888</v>
      </c>
      <c r="G4" s="99">
        <f>Assumptions!G44</f>
        <v>0.10185924982184888</v>
      </c>
      <c r="H4" s="99">
        <f>Assumptions!H44</f>
        <v>0.10185924982184888</v>
      </c>
      <c r="I4" s="99">
        <f>Assumptions!I44</f>
        <v>0.10185924982184888</v>
      </c>
      <c r="J4" s="318">
        <f>Assumptions!J44</f>
        <v>0.10185924982184888</v>
      </c>
      <c r="K4" s="167"/>
      <c r="L4" s="167"/>
      <c r="M4" s="167"/>
      <c r="N4" s="167"/>
      <c r="O4" s="167"/>
    </row>
    <row r="5" spans="1:15" x14ac:dyDescent="0.25">
      <c r="B5" s="4" t="s">
        <v>65</v>
      </c>
      <c r="C5" s="45">
        <f>C16/IncState!C17</f>
        <v>0.29227312013828866</v>
      </c>
      <c r="D5" s="45">
        <f>D16/IncState!D17</f>
        <v>0.26405618964003513</v>
      </c>
      <c r="E5" s="46">
        <f>E16/IncState!E17</f>
        <v>0.28240129718315171</v>
      </c>
      <c r="F5" s="99">
        <f>Assumptions!F45</f>
        <v>0.26240129718315169</v>
      </c>
      <c r="G5" s="99">
        <f>Assumptions!G45</f>
        <v>0.26240129718315169</v>
      </c>
      <c r="H5" s="99">
        <f>Assumptions!H45</f>
        <v>0.26240129718315169</v>
      </c>
      <c r="I5" s="99">
        <f>Assumptions!I45</f>
        <v>0.26240129718315169</v>
      </c>
      <c r="J5" s="318">
        <f>Assumptions!J45</f>
        <v>0.26240129718315169</v>
      </c>
      <c r="K5" s="167"/>
      <c r="L5" s="167"/>
      <c r="M5" s="167"/>
      <c r="N5" s="167"/>
      <c r="O5" s="167"/>
    </row>
    <row r="6" spans="1:15" x14ac:dyDescent="0.25">
      <c r="B6" s="4" t="s">
        <v>66</v>
      </c>
      <c r="C6" s="45">
        <f>C17/IncState!C16</f>
        <v>3.7917097838608277E-2</v>
      </c>
      <c r="D6" s="45">
        <f>D17/IncState!D16</f>
        <v>3.6096725205404773E-2</v>
      </c>
      <c r="E6" s="46">
        <f>E17/IncState!E16</f>
        <v>4.329611954479691E-2</v>
      </c>
      <c r="F6" s="99">
        <f>Assumptions!F46</f>
        <v>4.329611954479691E-2</v>
      </c>
      <c r="G6" s="99">
        <f>Assumptions!G46</f>
        <v>4.329611954479691E-2</v>
      </c>
      <c r="H6" s="99">
        <f>Assumptions!H46</f>
        <v>4.329611954479691E-2</v>
      </c>
      <c r="I6" s="99">
        <f>Assumptions!I46</f>
        <v>4.329611954479691E-2</v>
      </c>
      <c r="J6" s="318">
        <f>Assumptions!J46</f>
        <v>4.329611954479691E-2</v>
      </c>
      <c r="K6" s="167"/>
      <c r="L6" s="167"/>
      <c r="M6" s="167"/>
      <c r="N6" s="167"/>
      <c r="O6" s="167"/>
    </row>
    <row r="7" spans="1:15" x14ac:dyDescent="0.25">
      <c r="B7" s="4" t="s">
        <v>67</v>
      </c>
      <c r="C7" s="45">
        <f>C22/IncState!C16</f>
        <v>0.13067926664974519</v>
      </c>
      <c r="D7" s="45">
        <f>D22/IncState!D16</f>
        <v>0.14074607686616564</v>
      </c>
      <c r="E7" s="46">
        <f>E22/IncState!E16</f>
        <v>0.17037724848301625</v>
      </c>
      <c r="F7" s="99">
        <f>Assumptions!F47</f>
        <v>0.17037724848301625</v>
      </c>
      <c r="G7" s="99">
        <f>Assumptions!G47</f>
        <v>0.17037724848301625</v>
      </c>
      <c r="H7" s="99">
        <f>Assumptions!H47</f>
        <v>0.17037724848301625</v>
      </c>
      <c r="I7" s="99">
        <f>Assumptions!I47</f>
        <v>0.17037724848301625</v>
      </c>
      <c r="J7" s="318">
        <f>Assumptions!J47</f>
        <v>0.17037724848301625</v>
      </c>
      <c r="K7" s="167"/>
      <c r="L7" s="167"/>
      <c r="M7" s="167"/>
      <c r="N7" s="167"/>
      <c r="O7" s="167"/>
    </row>
    <row r="8" spans="1:15" x14ac:dyDescent="0.25">
      <c r="C8" s="32"/>
      <c r="D8" s="32"/>
      <c r="E8" s="32"/>
      <c r="F8" s="100"/>
      <c r="G8" s="100"/>
      <c r="H8" s="100"/>
      <c r="I8" s="100"/>
      <c r="J8" s="100"/>
      <c r="K8" s="167"/>
      <c r="L8" s="167"/>
      <c r="M8" s="167"/>
      <c r="N8" s="167"/>
      <c r="O8" s="167"/>
    </row>
    <row r="9" spans="1:15" x14ac:dyDescent="0.25">
      <c r="B9" s="4" t="s">
        <v>153</v>
      </c>
      <c r="C9" s="45">
        <f>C28/IncState!C17</f>
        <v>0.10745030250648228</v>
      </c>
      <c r="D9" s="45">
        <f>D28/IncState!D17</f>
        <v>0.11908691834942932</v>
      </c>
      <c r="E9" s="46">
        <f>E28/IncState!E17</f>
        <v>0.15660469851804368</v>
      </c>
      <c r="F9" s="99">
        <f>Assumptions!F51</f>
        <v>0.15660469851804368</v>
      </c>
      <c r="G9" s="99">
        <f>Assumptions!G51</f>
        <v>0.15660469851804368</v>
      </c>
      <c r="H9" s="99">
        <f>Assumptions!H51</f>
        <v>0.15660469851804368</v>
      </c>
      <c r="I9" s="99">
        <f>Assumptions!I51</f>
        <v>0.15660469851804368</v>
      </c>
      <c r="J9" s="318">
        <f>Assumptions!J51</f>
        <v>0.15660469851804368</v>
      </c>
      <c r="K9" s="167"/>
      <c r="L9" s="167"/>
      <c r="M9" s="167"/>
      <c r="N9" s="167"/>
      <c r="O9" s="167"/>
    </row>
    <row r="10" spans="1:15" x14ac:dyDescent="0.25">
      <c r="B10" s="4" t="s">
        <v>68</v>
      </c>
      <c r="C10" s="8">
        <f>C29/IncState!C16</f>
        <v>0.12003826854364762</v>
      </c>
      <c r="D10" s="8">
        <f>D29/IncState!D16</f>
        <v>0.1207507495814026</v>
      </c>
      <c r="E10" s="28">
        <f>E29/IncState!E16</f>
        <v>0.13848280031959231</v>
      </c>
      <c r="F10" s="99">
        <f>Assumptions!F52</f>
        <v>0.13848280031959231</v>
      </c>
      <c r="G10" s="99">
        <f>Assumptions!G52</f>
        <v>0.13848280031959231</v>
      </c>
      <c r="H10" s="99">
        <f>Assumptions!H52</f>
        <v>0.13848280031959231</v>
      </c>
      <c r="I10" s="99">
        <f>Assumptions!I52</f>
        <v>0.13848280031959231</v>
      </c>
      <c r="J10" s="318">
        <f>Assumptions!J52</f>
        <v>0.13848280031959231</v>
      </c>
      <c r="K10" s="167"/>
      <c r="L10" s="167"/>
      <c r="M10" s="167"/>
      <c r="N10" s="167"/>
      <c r="O10" s="167"/>
    </row>
    <row r="11" spans="1:15" x14ac:dyDescent="0.25">
      <c r="B11" s="4" t="s">
        <v>69</v>
      </c>
      <c r="C11" s="45">
        <f>C33/IncState!C16</f>
        <v>0.10434035574125779</v>
      </c>
      <c r="D11" s="45">
        <f>D33/IncState!D16</f>
        <v>0.100930649118025</v>
      </c>
      <c r="E11" s="46">
        <f>E33/IncState!E16</f>
        <v>0.10449372692133278</v>
      </c>
      <c r="F11" s="274">
        <f>Assumptions!F53</f>
        <v>0.10449372692133278</v>
      </c>
      <c r="G11" s="274">
        <f>Assumptions!G53</f>
        <v>0.10449372692133278</v>
      </c>
      <c r="H11" s="274">
        <f>Assumptions!H53</f>
        <v>0.10449372692133278</v>
      </c>
      <c r="I11" s="274">
        <f>Assumptions!I53</f>
        <v>0.10449372692133278</v>
      </c>
      <c r="J11" s="318">
        <f>Assumptions!J53</f>
        <v>0.10449372692133278</v>
      </c>
      <c r="K11" s="167"/>
      <c r="L11" s="167"/>
      <c r="M11" s="167"/>
      <c r="N11" s="167"/>
      <c r="O11" s="167"/>
    </row>
    <row r="12" spans="1:15" x14ac:dyDescent="0.25">
      <c r="C12" s="45"/>
      <c r="D12" s="45"/>
      <c r="E12" s="45"/>
      <c r="F12" s="100"/>
      <c r="G12" s="100"/>
      <c r="H12" s="100"/>
      <c r="I12" s="100"/>
      <c r="J12" s="100"/>
      <c r="K12" s="167"/>
      <c r="L12" s="167"/>
      <c r="M12" s="167"/>
      <c r="N12" s="167"/>
      <c r="O12" s="167"/>
    </row>
    <row r="13" spans="1:15" ht="15" customHeight="1" x14ac:dyDescent="0.25">
      <c r="A13" s="174" t="s">
        <v>64</v>
      </c>
      <c r="B13" s="175"/>
      <c r="C13" s="271">
        <f>C2</f>
        <v>2023</v>
      </c>
      <c r="D13" s="271">
        <f>D2</f>
        <v>2024</v>
      </c>
      <c r="E13" s="271">
        <f>E2</f>
        <v>2025</v>
      </c>
      <c r="F13" s="271">
        <f>F2</f>
        <v>2026</v>
      </c>
      <c r="G13" s="271">
        <f>G2</f>
        <v>2027</v>
      </c>
      <c r="H13" s="271">
        <f>H2</f>
        <v>2028</v>
      </c>
      <c r="I13" s="271">
        <f>I2</f>
        <v>2029</v>
      </c>
      <c r="J13" s="271">
        <f>J2</f>
        <v>2030</v>
      </c>
      <c r="K13" s="295"/>
      <c r="L13" s="295"/>
      <c r="M13" s="295"/>
      <c r="N13" s="207"/>
      <c r="O13" s="207"/>
    </row>
    <row r="14" spans="1:15" x14ac:dyDescent="0.25">
      <c r="B14" s="4" t="s">
        <v>195</v>
      </c>
      <c r="C14" s="182">
        <f>7441+3234</f>
        <v>10675</v>
      </c>
      <c r="D14" s="182">
        <f>9860+1722</f>
        <v>11582</v>
      </c>
      <c r="E14" s="183">
        <f>7464+1687</f>
        <v>9151</v>
      </c>
      <c r="F14" s="4">
        <f>MAX(CashFlow!F23,0)</f>
        <v>6414.0171216493691</v>
      </c>
      <c r="G14" s="4">
        <f>MAX(CashFlow!G23,0)</f>
        <v>3697.6751728892114</v>
      </c>
      <c r="H14" s="4">
        <f>MAX(CashFlow!H23,0)</f>
        <v>4502.1852046834329</v>
      </c>
      <c r="I14" s="4">
        <f>MAX(CashFlow!I23,0)</f>
        <v>5909.066780008885</v>
      </c>
      <c r="J14" s="4">
        <f>MAX(CashFlow!J23,0)</f>
        <v>8014.1990215836759</v>
      </c>
    </row>
    <row r="15" spans="1:15" x14ac:dyDescent="0.25">
      <c r="B15" s="4" t="s">
        <v>70</v>
      </c>
      <c r="C15" s="184">
        <v>4131</v>
      </c>
      <c r="D15" s="184">
        <v>4427</v>
      </c>
      <c r="E15" s="185">
        <v>4717</v>
      </c>
      <c r="F15" s="4">
        <f>F4*IncState!F16</f>
        <v>4989.7753301173761</v>
      </c>
      <c r="G15" s="4">
        <f>G4*IncState!G16</f>
        <v>5296.9581051917457</v>
      </c>
      <c r="H15" s="4">
        <f>H4*IncState!H16</f>
        <v>5646.7150735861305</v>
      </c>
      <c r="I15" s="4">
        <f>I4*IncState!I16</f>
        <v>6046.463250774068</v>
      </c>
      <c r="J15" s="4">
        <f>J4*IncState!J16</f>
        <v>6506.4087933659066</v>
      </c>
    </row>
    <row r="16" spans="1:15" x14ac:dyDescent="0.25">
      <c r="B16" s="4" t="s">
        <v>71</v>
      </c>
      <c r="C16" s="184">
        <v>8454</v>
      </c>
      <c r="D16" s="184">
        <v>7519</v>
      </c>
      <c r="E16" s="185">
        <v>7489</v>
      </c>
      <c r="F16" s="4">
        <f>F5*IncState!F17</f>
        <v>7515.2749548252732</v>
      </c>
      <c r="G16" s="4">
        <f>G5*IncState!G17</f>
        <v>7977.9336645543599</v>
      </c>
      <c r="H16" s="4">
        <f>H5*IncState!H17</f>
        <v>8504.714854277403</v>
      </c>
      <c r="I16" s="4">
        <f>I5*IncState!I17</f>
        <v>9106.789550130874</v>
      </c>
      <c r="J16" s="4">
        <f>J5*IncState!J17</f>
        <v>9799.5296011629216</v>
      </c>
    </row>
    <row r="17" spans="1:15" x14ac:dyDescent="0.25">
      <c r="B17" s="4" t="s">
        <v>72</v>
      </c>
      <c r="C17" s="184">
        <v>1942</v>
      </c>
      <c r="D17" s="184">
        <v>1854</v>
      </c>
      <c r="E17" s="185">
        <v>2005</v>
      </c>
      <c r="F17" s="4">
        <f>F6*IncState!F16</f>
        <v>2120.9454180380203</v>
      </c>
      <c r="G17" s="4">
        <f>G6*IncState!G16</f>
        <v>2251.5160061287793</v>
      </c>
      <c r="H17" s="4">
        <f>H6*IncState!H16</f>
        <v>2400.1831084460869</v>
      </c>
      <c r="I17" s="4">
        <f>I6*IncState!I16</f>
        <v>2570.0993889764695</v>
      </c>
      <c r="J17" s="4">
        <f>J6*IncState!J16</f>
        <v>2765.603059295875</v>
      </c>
    </row>
    <row r="18" spans="1:15" s="11" customFormat="1" x14ac:dyDescent="0.25">
      <c r="B18" s="11" t="s">
        <v>73</v>
      </c>
      <c r="C18" s="11">
        <f>SUM(C14:C17)</f>
        <v>25202</v>
      </c>
      <c r="D18" s="11">
        <f>SUM(D14:D17)</f>
        <v>25382</v>
      </c>
      <c r="E18" s="26">
        <f>SUM(E14:E17)</f>
        <v>23362</v>
      </c>
      <c r="F18" s="11">
        <f>SUM(F14:F17)</f>
        <v>21040.012824630037</v>
      </c>
      <c r="G18" s="11">
        <f>SUM(G14:G17)</f>
        <v>19224.082948764095</v>
      </c>
      <c r="H18" s="11">
        <f>SUM(H14:H17)</f>
        <v>21053.798240993056</v>
      </c>
      <c r="I18" s="11">
        <f>SUM(I14:I17)</f>
        <v>23632.418969890296</v>
      </c>
      <c r="J18" s="11">
        <f>SUM(J14:J17)</f>
        <v>27085.74047540838</v>
      </c>
      <c r="K18" s="300"/>
      <c r="L18" s="300"/>
      <c r="M18" s="300"/>
    </row>
    <row r="19" spans="1:15" x14ac:dyDescent="0.25">
      <c r="A19" s="7"/>
      <c r="E19" s="29"/>
      <c r="I19" s="4"/>
      <c r="J19" s="4"/>
    </row>
    <row r="20" spans="1:15" x14ac:dyDescent="0.25">
      <c r="B20" s="4" t="s">
        <v>74</v>
      </c>
      <c r="C20" s="184">
        <v>5081</v>
      </c>
      <c r="D20" s="184">
        <v>5000</v>
      </c>
      <c r="E20" s="185">
        <v>4828</v>
      </c>
      <c r="F20" s="4">
        <f>Calcs!F9</f>
        <v>4717.5303676194144</v>
      </c>
      <c r="G20" s="4">
        <f>Calcs!G9</f>
        <v>4663.4523884167857</v>
      </c>
      <c r="H20" s="4">
        <f>Calcs!H9</f>
        <v>4662.4678489568178</v>
      </c>
      <c r="I20" s="4">
        <f>Calcs!I9</f>
        <v>4712.7379166841274</v>
      </c>
      <c r="J20" s="4">
        <f>Calcs!J9</f>
        <v>4814.0134871070222</v>
      </c>
    </row>
    <row r="21" spans="1:15" x14ac:dyDescent="0.25">
      <c r="B21" s="4" t="s">
        <v>159</v>
      </c>
      <c r="C21" s="184">
        <f>274+281</f>
        <v>555</v>
      </c>
      <c r="D21" s="184">
        <f>259+240</f>
        <v>499</v>
      </c>
      <c r="E21" s="185">
        <f>259+240</f>
        <v>499</v>
      </c>
      <c r="F21" s="4">
        <f>E21+IncState!F7</f>
        <v>499</v>
      </c>
      <c r="G21" s="4">
        <f>F21+IncState!G7</f>
        <v>499</v>
      </c>
      <c r="H21" s="4">
        <f>G21+IncState!H7</f>
        <v>499</v>
      </c>
      <c r="I21" s="4">
        <f>H21+IncState!I7</f>
        <v>499</v>
      </c>
      <c r="J21" s="4">
        <f>I21+IncState!J7</f>
        <v>499</v>
      </c>
      <c r="K21" s="316"/>
      <c r="L21" s="316"/>
      <c r="M21" s="316"/>
      <c r="N21" s="125"/>
      <c r="O21" s="125"/>
    </row>
    <row r="22" spans="1:15" x14ac:dyDescent="0.25">
      <c r="B22" s="4" t="s">
        <v>160</v>
      </c>
      <c r="C22" s="184">
        <f>2923+3770</f>
        <v>6693</v>
      </c>
      <c r="D22" s="184">
        <f>2718+4511</f>
        <v>7229</v>
      </c>
      <c r="E22" s="185">
        <f>2712+5178</f>
        <v>7890</v>
      </c>
      <c r="F22" s="4">
        <f>IncState!F16*BalSheet!F7</f>
        <v>8346.2640141246757</v>
      </c>
      <c r="G22" s="4">
        <f>IncState!G16*BalSheet!G7</f>
        <v>8860.0804430703574</v>
      </c>
      <c r="H22" s="4">
        <f>IncState!H16*BalSheet!H7</f>
        <v>9445.1095888476921</v>
      </c>
      <c r="I22" s="4">
        <f>IncState!I16*BalSheet!I7</f>
        <v>10113.757695273986</v>
      </c>
      <c r="J22" s="4">
        <f>IncState!J16*BalSheet!J7</f>
        <v>10883.096328101972</v>
      </c>
    </row>
    <row r="23" spans="1:15" s="11" customFormat="1" x14ac:dyDescent="0.25">
      <c r="B23" s="11" t="s">
        <v>75</v>
      </c>
      <c r="C23" s="11">
        <f>SUM(C20:C22)</f>
        <v>12329</v>
      </c>
      <c r="D23" s="11">
        <f>SUM(D20:D22)</f>
        <v>12728</v>
      </c>
      <c r="E23" s="26">
        <f>SUM(E20:E22)</f>
        <v>13217</v>
      </c>
      <c r="F23" s="11">
        <f>SUM(F20:F22)</f>
        <v>13562.79438174409</v>
      </c>
      <c r="G23" s="11">
        <f>SUM(G20:G22)</f>
        <v>14022.532831487144</v>
      </c>
      <c r="H23" s="11">
        <f>SUM(H20:H22)</f>
        <v>14606.57743780451</v>
      </c>
      <c r="I23" s="11">
        <f>SUM(I20:I22)</f>
        <v>15325.495611958113</v>
      </c>
      <c r="J23" s="11">
        <f>SUM(J20:J22)</f>
        <v>16196.109815208994</v>
      </c>
      <c r="K23" s="300"/>
      <c r="L23" s="300"/>
      <c r="M23" s="300"/>
    </row>
    <row r="24" spans="1:15" x14ac:dyDescent="0.25">
      <c r="E24" s="29"/>
      <c r="I24" s="4"/>
      <c r="J24" s="4"/>
    </row>
    <row r="25" spans="1:15" s="11" customFormat="1" x14ac:dyDescent="0.25">
      <c r="A25" s="11" t="s">
        <v>125</v>
      </c>
      <c r="B25" s="18" t="s">
        <v>76</v>
      </c>
      <c r="C25" s="19">
        <f>SUM(C23,C18)</f>
        <v>37531</v>
      </c>
      <c r="D25" s="19">
        <f>SUM(D23,D18)</f>
        <v>38110</v>
      </c>
      <c r="E25" s="19">
        <f>SUM(E23,E18)</f>
        <v>36579</v>
      </c>
      <c r="F25" s="19">
        <f>SUM(F23,F18)</f>
        <v>34602.807206374127</v>
      </c>
      <c r="G25" s="19">
        <f>SUM(G23,G18)</f>
        <v>33246.615780251239</v>
      </c>
      <c r="H25" s="19">
        <f>SUM(H23,H18)</f>
        <v>35660.375678797565</v>
      </c>
      <c r="I25" s="19">
        <f>SUM(I23,I18)</f>
        <v>38957.91458184841</v>
      </c>
      <c r="J25" s="19">
        <f>SUM(J23,J18)</f>
        <v>43281.850290617374</v>
      </c>
      <c r="K25" s="300"/>
      <c r="L25" s="300"/>
      <c r="M25" s="300"/>
    </row>
    <row r="26" spans="1:15" x14ac:dyDescent="0.25">
      <c r="A26" s="11"/>
      <c r="E26" s="29"/>
      <c r="I26" s="4"/>
      <c r="J26" s="4"/>
      <c r="N26" s="6"/>
      <c r="O26" s="6"/>
    </row>
    <row r="27" spans="1:15" x14ac:dyDescent="0.25">
      <c r="B27" s="4" t="s">
        <v>77</v>
      </c>
      <c r="C27" s="9">
        <v>0</v>
      </c>
      <c r="D27" s="9">
        <v>1000</v>
      </c>
      <c r="E27" s="47">
        <v>0</v>
      </c>
      <c r="F27" s="4">
        <f>MIN(CashFlow!F23,0)</f>
        <v>0</v>
      </c>
      <c r="G27" s="4">
        <f>MIN(CashFlow!G23,0)</f>
        <v>0</v>
      </c>
      <c r="H27" s="4">
        <f>MIN(CashFlow!H23,0)</f>
        <v>0</v>
      </c>
      <c r="I27" s="4">
        <f>MIN(CashFlow!I23,0)</f>
        <v>0</v>
      </c>
      <c r="J27" s="4">
        <f>MIN(CashFlow!J23,0)</f>
        <v>0</v>
      </c>
    </row>
    <row r="28" spans="1:15" x14ac:dyDescent="0.25">
      <c r="B28" s="4" t="s">
        <v>152</v>
      </c>
      <c r="C28" s="184">
        <f>6+2862+240</f>
        <v>3108</v>
      </c>
      <c r="D28" s="9">
        <f>6+2851+534</f>
        <v>3391</v>
      </c>
      <c r="E28" s="47">
        <f>5+3479+669</f>
        <v>4153</v>
      </c>
      <c r="F28" s="4">
        <f>F9*IncState!F17</f>
        <v>4485.2193232838354</v>
      </c>
      <c r="G28" s="4">
        <f>G9*IncState!G17</f>
        <v>4761.3403963564988</v>
      </c>
      <c r="H28" s="4">
        <f>H9*IncState!H17</f>
        <v>5075.7306462795877</v>
      </c>
      <c r="I28" s="4">
        <f>I9*IncState!I17</f>
        <v>5435.0570948971954</v>
      </c>
      <c r="J28" s="4">
        <f>J9*IncState!J17</f>
        <v>5848.4938728698535</v>
      </c>
    </row>
    <row r="29" spans="1:15" x14ac:dyDescent="0.25">
      <c r="B29" s="4" t="s">
        <v>78</v>
      </c>
      <c r="C29" s="184">
        <f>425+5723</f>
        <v>6148</v>
      </c>
      <c r="D29" s="9">
        <f>477+5725</f>
        <v>6202</v>
      </c>
      <c r="E29" s="47">
        <f>5911+502</f>
        <v>6413</v>
      </c>
      <c r="F29" s="4">
        <f>F10*IncState!F16</f>
        <v>6783.8518533056476</v>
      </c>
      <c r="G29" s="4">
        <f>G10*IncState!G16</f>
        <v>7201.4823677325994</v>
      </c>
      <c r="H29" s="4">
        <f>H10*IncState!H16</f>
        <v>7676.9946506058632</v>
      </c>
      <c r="I29" s="4">
        <f>I10*IncState!I16</f>
        <v>8220.4725094793521</v>
      </c>
      <c r="J29" s="4">
        <f>J10*IncState!J16</f>
        <v>8845.7917303064587</v>
      </c>
    </row>
    <row r="30" spans="1:15" s="11" customFormat="1" x14ac:dyDescent="0.25">
      <c r="B30" s="11" t="s">
        <v>79</v>
      </c>
      <c r="C30" s="11">
        <f t="shared" ref="C30:E30" si="1">SUM(C27:C29)</f>
        <v>9256</v>
      </c>
      <c r="D30" s="11">
        <f t="shared" si="1"/>
        <v>10593</v>
      </c>
      <c r="E30" s="26">
        <f t="shared" si="1"/>
        <v>10566</v>
      </c>
      <c r="F30" s="11">
        <f>SUM(F27:F29)</f>
        <v>11269.071176589483</v>
      </c>
      <c r="G30" s="11">
        <f t="shared" ref="G30:M30" si="2">SUM(G27:G29)</f>
        <v>11962.822764089098</v>
      </c>
      <c r="H30" s="11">
        <f t="shared" si="2"/>
        <v>12752.725296885452</v>
      </c>
      <c r="I30" s="11">
        <f t="shared" si="2"/>
        <v>13655.529604376548</v>
      </c>
      <c r="J30" s="11">
        <f t="shared" si="2"/>
        <v>14694.285603176311</v>
      </c>
      <c r="K30" s="300"/>
      <c r="L30" s="300"/>
      <c r="M30" s="300"/>
    </row>
    <row r="31" spans="1:15" x14ac:dyDescent="0.25">
      <c r="B31" s="11"/>
      <c r="E31" s="29"/>
      <c r="I31" s="4"/>
      <c r="J31" s="4"/>
    </row>
    <row r="32" spans="1:15" x14ac:dyDescent="0.25">
      <c r="B32" s="4" t="s">
        <v>80</v>
      </c>
      <c r="C32" s="184">
        <v>8927</v>
      </c>
      <c r="D32" s="9">
        <v>7903</v>
      </c>
      <c r="E32" s="47">
        <v>7961</v>
      </c>
      <c r="F32" s="4">
        <f>Debt!F20</f>
        <v>7961</v>
      </c>
      <c r="G32" s="4">
        <f>Debt!G20</f>
        <v>7961</v>
      </c>
      <c r="H32" s="4">
        <f>Debt!H20</f>
        <v>7961</v>
      </c>
      <c r="I32" s="4">
        <f>Debt!I20</f>
        <v>7961</v>
      </c>
      <c r="J32" s="4">
        <f>Debt!J20</f>
        <v>7961</v>
      </c>
    </row>
    <row r="33" spans="1:15" x14ac:dyDescent="0.25">
      <c r="B33" s="4" t="s">
        <v>81</v>
      </c>
      <c r="C33" s="184">
        <f>2786+2558</f>
        <v>5344</v>
      </c>
      <c r="D33" s="9">
        <f>2566+2618</f>
        <v>5184</v>
      </c>
      <c r="E33" s="47">
        <f>2550+2289</f>
        <v>4839</v>
      </c>
      <c r="F33" s="4">
        <f>F11*IncState!F16</f>
        <v>5118.8303630354003</v>
      </c>
      <c r="G33" s="4">
        <f>G11*IncState!G16</f>
        <v>5433.9580816245198</v>
      </c>
      <c r="H33" s="4">
        <f>H11*IncState!H16</f>
        <v>5792.7611280651436</v>
      </c>
      <c r="I33" s="4">
        <f>I11*IncState!I16</f>
        <v>6202.8483507516885</v>
      </c>
      <c r="J33" s="4">
        <f>J11*IncState!J16</f>
        <v>6674.6898772731865</v>
      </c>
    </row>
    <row r="34" spans="1:15" x14ac:dyDescent="0.25">
      <c r="B34" s="11" t="s">
        <v>82</v>
      </c>
      <c r="C34" s="11">
        <f t="shared" ref="C34:E34" si="3">SUM(C32:C33)</f>
        <v>14271</v>
      </c>
      <c r="D34" s="11">
        <f t="shared" si="3"/>
        <v>13087</v>
      </c>
      <c r="E34" s="26">
        <f t="shared" si="3"/>
        <v>12800</v>
      </c>
      <c r="F34" s="11">
        <f>SUM(F32:F33)</f>
        <v>13079.8303630354</v>
      </c>
      <c r="G34" s="11">
        <f t="shared" ref="G34:M34" si="4">SUM(G32:G33)</f>
        <v>13394.95808162452</v>
      </c>
      <c r="H34" s="11">
        <f t="shared" si="4"/>
        <v>13753.761128065144</v>
      </c>
      <c r="I34" s="11">
        <f t="shared" si="4"/>
        <v>14163.848350751688</v>
      </c>
      <c r="J34" s="11">
        <f t="shared" si="4"/>
        <v>14635.689877273187</v>
      </c>
      <c r="K34" s="300"/>
      <c r="L34" s="300"/>
      <c r="M34" s="300"/>
      <c r="N34" s="11"/>
      <c r="O34" s="11"/>
    </row>
    <row r="35" spans="1:15" x14ac:dyDescent="0.25">
      <c r="E35" s="29"/>
      <c r="I35" s="4"/>
      <c r="J35" s="4"/>
    </row>
    <row r="36" spans="1:15" x14ac:dyDescent="0.25">
      <c r="B36" s="4" t="s">
        <v>17</v>
      </c>
      <c r="C36" s="186">
        <v>14004</v>
      </c>
      <c r="D36" s="186">
        <v>14430</v>
      </c>
      <c r="E36" s="218">
        <v>13213</v>
      </c>
      <c r="F36" s="4">
        <f>Calcs!F17</f>
        <v>10253.905666749244</v>
      </c>
      <c r="G36" s="4">
        <f>Calcs!G17</f>
        <v>7888.8349345376228</v>
      </c>
      <c r="H36" s="4">
        <f>Calcs!H17</f>
        <v>9153.88925384697</v>
      </c>
      <c r="I36" s="4">
        <f>Calcs!I17</f>
        <v>11138.536626720175</v>
      </c>
      <c r="J36" s="4">
        <f>Calcs!J17</f>
        <v>13951.874810167879</v>
      </c>
    </row>
    <row r="37" spans="1:15" s="11" customFormat="1" x14ac:dyDescent="0.25">
      <c r="A37" s="11" t="s">
        <v>125</v>
      </c>
      <c r="B37" s="18" t="s">
        <v>83</v>
      </c>
      <c r="C37" s="19">
        <f>SUM(C36,C34,C30)</f>
        <v>37531</v>
      </c>
      <c r="D37" s="19">
        <f>SUM(D36,D34,D30)</f>
        <v>38110</v>
      </c>
      <c r="E37" s="19">
        <f t="shared" ref="E37:F37" si="5">SUM(E36,E34,E30)</f>
        <v>36579</v>
      </c>
      <c r="F37" s="19">
        <f t="shared" si="5"/>
        <v>34602.807206374127</v>
      </c>
      <c r="G37" s="19">
        <f t="shared" ref="G37" si="6">SUM(G36,G34,G30)</f>
        <v>33246.615780251239</v>
      </c>
      <c r="H37" s="19">
        <f t="shared" ref="H37" si="7">SUM(H36,H34,H30)</f>
        <v>35660.375678797565</v>
      </c>
      <c r="I37" s="19">
        <f t="shared" ref="I37" si="8">SUM(I36,I34,I30)</f>
        <v>38957.91458184841</v>
      </c>
      <c r="J37" s="19">
        <f t="shared" ref="J37" si="9">SUM(J36,J34,J30)</f>
        <v>43281.850290617382</v>
      </c>
      <c r="K37" s="300"/>
      <c r="L37" s="300"/>
      <c r="M37" s="300"/>
    </row>
    <row r="38" spans="1:15" x14ac:dyDescent="0.25">
      <c r="E38" s="29"/>
      <c r="H38" s="6"/>
      <c r="K38" s="315"/>
      <c r="L38" s="315"/>
      <c r="M38" s="315"/>
      <c r="N38" s="6"/>
      <c r="O38" s="6"/>
    </row>
    <row r="39" spans="1:15" x14ac:dyDescent="0.25">
      <c r="A39" s="4" t="s">
        <v>125</v>
      </c>
      <c r="B39" s="11" t="s">
        <v>84</v>
      </c>
      <c r="C39" s="48">
        <f>C37-C25</f>
        <v>0</v>
      </c>
      <c r="D39" s="48">
        <f ca="1">D25-D39</f>
        <v>0</v>
      </c>
      <c r="E39" s="147">
        <f t="shared" ref="D39:J39" si="10">E37-E25</f>
        <v>0</v>
      </c>
      <c r="F39" s="48">
        <f t="shared" si="10"/>
        <v>0</v>
      </c>
      <c r="G39" s="48">
        <f t="shared" si="10"/>
        <v>0</v>
      </c>
      <c r="H39" s="48">
        <f t="shared" si="10"/>
        <v>0</v>
      </c>
      <c r="I39" s="48">
        <f t="shared" si="10"/>
        <v>0</v>
      </c>
      <c r="J39" s="48">
        <f t="shared" si="10"/>
        <v>0</v>
      </c>
      <c r="K39" s="317"/>
      <c r="L39" s="317"/>
      <c r="M39" s="317"/>
      <c r="N39" s="48"/>
      <c r="O39" s="48"/>
    </row>
    <row r="40" spans="1:15" x14ac:dyDescent="0.25">
      <c r="I40" s="4"/>
      <c r="J40" s="4"/>
    </row>
    <row r="41" spans="1:15" x14ac:dyDescent="0.25">
      <c r="H41" s="6"/>
    </row>
    <row r="42" spans="1:15" x14ac:dyDescent="0.25">
      <c r="H42" s="6"/>
    </row>
    <row r="43" spans="1:15" x14ac:dyDescent="0.25">
      <c r="H43" s="6"/>
    </row>
    <row r="44" spans="1:15" x14ac:dyDescent="0.25">
      <c r="H44" s="6"/>
    </row>
    <row r="45" spans="1:15" x14ac:dyDescent="0.25">
      <c r="H45" s="6"/>
    </row>
    <row r="46" spans="1:15" x14ac:dyDescent="0.25">
      <c r="H46" s="6"/>
    </row>
    <row r="47" spans="1:15" x14ac:dyDescent="0.25">
      <c r="H47" s="6"/>
    </row>
    <row r="48" spans="1:15" x14ac:dyDescent="0.25">
      <c r="H48" s="6"/>
    </row>
    <row r="49" spans="8:8" x14ac:dyDescent="0.25">
      <c r="H49" s="6"/>
    </row>
    <row r="50" spans="8:8" x14ac:dyDescent="0.25">
      <c r="H50" s="6"/>
    </row>
    <row r="51" spans="8:8" x14ac:dyDescent="0.25">
      <c r="H51" s="6"/>
    </row>
    <row r="52" spans="8:8" x14ac:dyDescent="0.25">
      <c r="H52" s="6"/>
    </row>
  </sheetData>
  <conditionalFormatting sqref="F4:O12">
    <cfRule type="expression" dxfId="0" priority="37">
      <formula>$E$11&gt;1</formula>
    </cfRule>
  </conditionalFormatting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&amp;L&amp;8&amp;F &amp;A</oddHeader>
    <oddFooter>&amp;R&amp;8&amp;P of &amp;N&amp;L&amp;8© AMT Training 2008 - 2017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>
    <pageSetUpPr autoPageBreaks="0" fitToPage="1"/>
  </sheetPr>
  <dimension ref="A1:O23"/>
  <sheetViews>
    <sheetView showGridLines="0" zoomScaleNormal="100" workbookViewId="0">
      <selection activeCell="G4" sqref="G4"/>
    </sheetView>
  </sheetViews>
  <sheetFormatPr defaultColWidth="8.85546875" defaultRowHeight="15" x14ac:dyDescent="0.25"/>
  <cols>
    <col min="1" max="1" width="1.7109375" style="4" customWidth="1"/>
    <col min="2" max="2" width="40.7109375" style="4" customWidth="1"/>
    <col min="3" max="8" width="11.7109375" style="4" customWidth="1"/>
    <col min="9" max="10" width="11.7109375" style="6" customWidth="1"/>
    <col min="11" max="13" width="11.7109375" style="287" customWidth="1"/>
    <col min="14" max="256" width="8.85546875" style="4"/>
    <col min="257" max="257" width="1.7109375" style="4" customWidth="1"/>
    <col min="258" max="258" width="40.7109375" style="4" customWidth="1"/>
    <col min="259" max="264" width="10.7109375" style="4" customWidth="1"/>
    <col min="265" max="266" width="9.42578125" style="4" bestFit="1" customWidth="1"/>
    <col min="267" max="512" width="8.85546875" style="4"/>
    <col min="513" max="513" width="1.7109375" style="4" customWidth="1"/>
    <col min="514" max="514" width="40.7109375" style="4" customWidth="1"/>
    <col min="515" max="520" width="10.7109375" style="4" customWidth="1"/>
    <col min="521" max="522" width="9.42578125" style="4" bestFit="1" customWidth="1"/>
    <col min="523" max="768" width="8.85546875" style="4"/>
    <col min="769" max="769" width="1.7109375" style="4" customWidth="1"/>
    <col min="770" max="770" width="40.7109375" style="4" customWidth="1"/>
    <col min="771" max="776" width="10.7109375" style="4" customWidth="1"/>
    <col min="777" max="778" width="9.42578125" style="4" bestFit="1" customWidth="1"/>
    <col min="779" max="1024" width="8.85546875" style="4"/>
    <col min="1025" max="1025" width="1.7109375" style="4" customWidth="1"/>
    <col min="1026" max="1026" width="40.7109375" style="4" customWidth="1"/>
    <col min="1027" max="1032" width="10.7109375" style="4" customWidth="1"/>
    <col min="1033" max="1034" width="9.42578125" style="4" bestFit="1" customWidth="1"/>
    <col min="1035" max="1280" width="8.85546875" style="4"/>
    <col min="1281" max="1281" width="1.7109375" style="4" customWidth="1"/>
    <col min="1282" max="1282" width="40.7109375" style="4" customWidth="1"/>
    <col min="1283" max="1288" width="10.7109375" style="4" customWidth="1"/>
    <col min="1289" max="1290" width="9.42578125" style="4" bestFit="1" customWidth="1"/>
    <col min="1291" max="1536" width="8.85546875" style="4"/>
    <col min="1537" max="1537" width="1.7109375" style="4" customWidth="1"/>
    <col min="1538" max="1538" width="40.7109375" style="4" customWidth="1"/>
    <col min="1539" max="1544" width="10.7109375" style="4" customWidth="1"/>
    <col min="1545" max="1546" width="9.42578125" style="4" bestFit="1" customWidth="1"/>
    <col min="1547" max="1792" width="8.85546875" style="4"/>
    <col min="1793" max="1793" width="1.7109375" style="4" customWidth="1"/>
    <col min="1794" max="1794" width="40.7109375" style="4" customWidth="1"/>
    <col min="1795" max="1800" width="10.7109375" style="4" customWidth="1"/>
    <col min="1801" max="1802" width="9.42578125" style="4" bestFit="1" customWidth="1"/>
    <col min="1803" max="2048" width="8.85546875" style="4"/>
    <col min="2049" max="2049" width="1.7109375" style="4" customWidth="1"/>
    <col min="2050" max="2050" width="40.7109375" style="4" customWidth="1"/>
    <col min="2051" max="2056" width="10.7109375" style="4" customWidth="1"/>
    <col min="2057" max="2058" width="9.42578125" style="4" bestFit="1" customWidth="1"/>
    <col min="2059" max="2304" width="8.85546875" style="4"/>
    <col min="2305" max="2305" width="1.7109375" style="4" customWidth="1"/>
    <col min="2306" max="2306" width="40.7109375" style="4" customWidth="1"/>
    <col min="2307" max="2312" width="10.7109375" style="4" customWidth="1"/>
    <col min="2313" max="2314" width="9.42578125" style="4" bestFit="1" customWidth="1"/>
    <col min="2315" max="2560" width="8.85546875" style="4"/>
    <col min="2561" max="2561" width="1.7109375" style="4" customWidth="1"/>
    <col min="2562" max="2562" width="40.7109375" style="4" customWidth="1"/>
    <col min="2563" max="2568" width="10.7109375" style="4" customWidth="1"/>
    <col min="2569" max="2570" width="9.42578125" style="4" bestFit="1" customWidth="1"/>
    <col min="2571" max="2816" width="8.85546875" style="4"/>
    <col min="2817" max="2817" width="1.7109375" style="4" customWidth="1"/>
    <col min="2818" max="2818" width="40.7109375" style="4" customWidth="1"/>
    <col min="2819" max="2824" width="10.7109375" style="4" customWidth="1"/>
    <col min="2825" max="2826" width="9.42578125" style="4" bestFit="1" customWidth="1"/>
    <col min="2827" max="3072" width="8.85546875" style="4"/>
    <col min="3073" max="3073" width="1.7109375" style="4" customWidth="1"/>
    <col min="3074" max="3074" width="40.7109375" style="4" customWidth="1"/>
    <col min="3075" max="3080" width="10.7109375" style="4" customWidth="1"/>
    <col min="3081" max="3082" width="9.42578125" style="4" bestFit="1" customWidth="1"/>
    <col min="3083" max="3328" width="8.85546875" style="4"/>
    <col min="3329" max="3329" width="1.7109375" style="4" customWidth="1"/>
    <col min="3330" max="3330" width="40.7109375" style="4" customWidth="1"/>
    <col min="3331" max="3336" width="10.7109375" style="4" customWidth="1"/>
    <col min="3337" max="3338" width="9.42578125" style="4" bestFit="1" customWidth="1"/>
    <col min="3339" max="3584" width="8.85546875" style="4"/>
    <col min="3585" max="3585" width="1.7109375" style="4" customWidth="1"/>
    <col min="3586" max="3586" width="40.7109375" style="4" customWidth="1"/>
    <col min="3587" max="3592" width="10.7109375" style="4" customWidth="1"/>
    <col min="3593" max="3594" width="9.42578125" style="4" bestFit="1" customWidth="1"/>
    <col min="3595" max="3840" width="8.85546875" style="4"/>
    <col min="3841" max="3841" width="1.7109375" style="4" customWidth="1"/>
    <col min="3842" max="3842" width="40.7109375" style="4" customWidth="1"/>
    <col min="3843" max="3848" width="10.7109375" style="4" customWidth="1"/>
    <col min="3849" max="3850" width="9.42578125" style="4" bestFit="1" customWidth="1"/>
    <col min="3851" max="4096" width="8.85546875" style="4"/>
    <col min="4097" max="4097" width="1.7109375" style="4" customWidth="1"/>
    <col min="4098" max="4098" width="40.7109375" style="4" customWidth="1"/>
    <col min="4099" max="4104" width="10.7109375" style="4" customWidth="1"/>
    <col min="4105" max="4106" width="9.42578125" style="4" bestFit="1" customWidth="1"/>
    <col min="4107" max="4352" width="8.85546875" style="4"/>
    <col min="4353" max="4353" width="1.7109375" style="4" customWidth="1"/>
    <col min="4354" max="4354" width="40.7109375" style="4" customWidth="1"/>
    <col min="4355" max="4360" width="10.7109375" style="4" customWidth="1"/>
    <col min="4361" max="4362" width="9.42578125" style="4" bestFit="1" customWidth="1"/>
    <col min="4363" max="4608" width="8.85546875" style="4"/>
    <col min="4609" max="4609" width="1.7109375" style="4" customWidth="1"/>
    <col min="4610" max="4610" width="40.7109375" style="4" customWidth="1"/>
    <col min="4611" max="4616" width="10.7109375" style="4" customWidth="1"/>
    <col min="4617" max="4618" width="9.42578125" style="4" bestFit="1" customWidth="1"/>
    <col min="4619" max="4864" width="8.85546875" style="4"/>
    <col min="4865" max="4865" width="1.7109375" style="4" customWidth="1"/>
    <col min="4866" max="4866" width="40.7109375" style="4" customWidth="1"/>
    <col min="4867" max="4872" width="10.7109375" style="4" customWidth="1"/>
    <col min="4873" max="4874" width="9.42578125" style="4" bestFit="1" customWidth="1"/>
    <col min="4875" max="5120" width="8.85546875" style="4"/>
    <col min="5121" max="5121" width="1.7109375" style="4" customWidth="1"/>
    <col min="5122" max="5122" width="40.7109375" style="4" customWidth="1"/>
    <col min="5123" max="5128" width="10.7109375" style="4" customWidth="1"/>
    <col min="5129" max="5130" width="9.42578125" style="4" bestFit="1" customWidth="1"/>
    <col min="5131" max="5376" width="8.85546875" style="4"/>
    <col min="5377" max="5377" width="1.7109375" style="4" customWidth="1"/>
    <col min="5378" max="5378" width="40.7109375" style="4" customWidth="1"/>
    <col min="5379" max="5384" width="10.7109375" style="4" customWidth="1"/>
    <col min="5385" max="5386" width="9.42578125" style="4" bestFit="1" customWidth="1"/>
    <col min="5387" max="5632" width="8.85546875" style="4"/>
    <col min="5633" max="5633" width="1.7109375" style="4" customWidth="1"/>
    <col min="5634" max="5634" width="40.7109375" style="4" customWidth="1"/>
    <col min="5635" max="5640" width="10.7109375" style="4" customWidth="1"/>
    <col min="5641" max="5642" width="9.42578125" style="4" bestFit="1" customWidth="1"/>
    <col min="5643" max="5888" width="8.85546875" style="4"/>
    <col min="5889" max="5889" width="1.7109375" style="4" customWidth="1"/>
    <col min="5890" max="5890" width="40.7109375" style="4" customWidth="1"/>
    <col min="5891" max="5896" width="10.7109375" style="4" customWidth="1"/>
    <col min="5897" max="5898" width="9.42578125" style="4" bestFit="1" customWidth="1"/>
    <col min="5899" max="6144" width="8.85546875" style="4"/>
    <col min="6145" max="6145" width="1.7109375" style="4" customWidth="1"/>
    <col min="6146" max="6146" width="40.7109375" style="4" customWidth="1"/>
    <col min="6147" max="6152" width="10.7109375" style="4" customWidth="1"/>
    <col min="6153" max="6154" width="9.42578125" style="4" bestFit="1" customWidth="1"/>
    <col min="6155" max="6400" width="8.85546875" style="4"/>
    <col min="6401" max="6401" width="1.7109375" style="4" customWidth="1"/>
    <col min="6402" max="6402" width="40.7109375" style="4" customWidth="1"/>
    <col min="6403" max="6408" width="10.7109375" style="4" customWidth="1"/>
    <col min="6409" max="6410" width="9.42578125" style="4" bestFit="1" customWidth="1"/>
    <col min="6411" max="6656" width="8.85546875" style="4"/>
    <col min="6657" max="6657" width="1.7109375" style="4" customWidth="1"/>
    <col min="6658" max="6658" width="40.7109375" style="4" customWidth="1"/>
    <col min="6659" max="6664" width="10.7109375" style="4" customWidth="1"/>
    <col min="6665" max="6666" width="9.42578125" style="4" bestFit="1" customWidth="1"/>
    <col min="6667" max="6912" width="8.85546875" style="4"/>
    <col min="6913" max="6913" width="1.7109375" style="4" customWidth="1"/>
    <col min="6914" max="6914" width="40.7109375" style="4" customWidth="1"/>
    <col min="6915" max="6920" width="10.7109375" style="4" customWidth="1"/>
    <col min="6921" max="6922" width="9.42578125" style="4" bestFit="1" customWidth="1"/>
    <col min="6923" max="7168" width="8.85546875" style="4"/>
    <col min="7169" max="7169" width="1.7109375" style="4" customWidth="1"/>
    <col min="7170" max="7170" width="40.7109375" style="4" customWidth="1"/>
    <col min="7171" max="7176" width="10.7109375" style="4" customWidth="1"/>
    <col min="7177" max="7178" width="9.42578125" style="4" bestFit="1" customWidth="1"/>
    <col min="7179" max="7424" width="8.85546875" style="4"/>
    <col min="7425" max="7425" width="1.7109375" style="4" customWidth="1"/>
    <col min="7426" max="7426" width="40.7109375" style="4" customWidth="1"/>
    <col min="7427" max="7432" width="10.7109375" style="4" customWidth="1"/>
    <col min="7433" max="7434" width="9.42578125" style="4" bestFit="1" customWidth="1"/>
    <col min="7435" max="7680" width="8.85546875" style="4"/>
    <col min="7681" max="7681" width="1.7109375" style="4" customWidth="1"/>
    <col min="7682" max="7682" width="40.7109375" style="4" customWidth="1"/>
    <col min="7683" max="7688" width="10.7109375" style="4" customWidth="1"/>
    <col min="7689" max="7690" width="9.42578125" style="4" bestFit="1" customWidth="1"/>
    <col min="7691" max="7936" width="8.85546875" style="4"/>
    <col min="7937" max="7937" width="1.7109375" style="4" customWidth="1"/>
    <col min="7938" max="7938" width="40.7109375" style="4" customWidth="1"/>
    <col min="7939" max="7944" width="10.7109375" style="4" customWidth="1"/>
    <col min="7945" max="7946" width="9.42578125" style="4" bestFit="1" customWidth="1"/>
    <col min="7947" max="8192" width="8.85546875" style="4"/>
    <col min="8193" max="8193" width="1.7109375" style="4" customWidth="1"/>
    <col min="8194" max="8194" width="40.7109375" style="4" customWidth="1"/>
    <col min="8195" max="8200" width="10.7109375" style="4" customWidth="1"/>
    <col min="8201" max="8202" width="9.42578125" style="4" bestFit="1" customWidth="1"/>
    <col min="8203" max="8448" width="8.85546875" style="4"/>
    <col min="8449" max="8449" width="1.7109375" style="4" customWidth="1"/>
    <col min="8450" max="8450" width="40.7109375" style="4" customWidth="1"/>
    <col min="8451" max="8456" width="10.7109375" style="4" customWidth="1"/>
    <col min="8457" max="8458" width="9.42578125" style="4" bestFit="1" customWidth="1"/>
    <col min="8459" max="8704" width="8.85546875" style="4"/>
    <col min="8705" max="8705" width="1.7109375" style="4" customWidth="1"/>
    <col min="8706" max="8706" width="40.7109375" style="4" customWidth="1"/>
    <col min="8707" max="8712" width="10.7109375" style="4" customWidth="1"/>
    <col min="8713" max="8714" width="9.42578125" style="4" bestFit="1" customWidth="1"/>
    <col min="8715" max="8960" width="8.85546875" style="4"/>
    <col min="8961" max="8961" width="1.7109375" style="4" customWidth="1"/>
    <col min="8962" max="8962" width="40.7109375" style="4" customWidth="1"/>
    <col min="8963" max="8968" width="10.7109375" style="4" customWidth="1"/>
    <col min="8969" max="8970" width="9.42578125" style="4" bestFit="1" customWidth="1"/>
    <col min="8971" max="9216" width="8.85546875" style="4"/>
    <col min="9217" max="9217" width="1.7109375" style="4" customWidth="1"/>
    <col min="9218" max="9218" width="40.7109375" style="4" customWidth="1"/>
    <col min="9219" max="9224" width="10.7109375" style="4" customWidth="1"/>
    <col min="9225" max="9226" width="9.42578125" style="4" bestFit="1" customWidth="1"/>
    <col min="9227" max="9472" width="8.85546875" style="4"/>
    <col min="9473" max="9473" width="1.7109375" style="4" customWidth="1"/>
    <col min="9474" max="9474" width="40.7109375" style="4" customWidth="1"/>
    <col min="9475" max="9480" width="10.7109375" style="4" customWidth="1"/>
    <col min="9481" max="9482" width="9.42578125" style="4" bestFit="1" customWidth="1"/>
    <col min="9483" max="9728" width="8.85546875" style="4"/>
    <col min="9729" max="9729" width="1.7109375" style="4" customWidth="1"/>
    <col min="9730" max="9730" width="40.7109375" style="4" customWidth="1"/>
    <col min="9731" max="9736" width="10.7109375" style="4" customWidth="1"/>
    <col min="9737" max="9738" width="9.42578125" style="4" bestFit="1" customWidth="1"/>
    <col min="9739" max="9984" width="8.85546875" style="4"/>
    <col min="9985" max="9985" width="1.7109375" style="4" customWidth="1"/>
    <col min="9986" max="9986" width="40.7109375" style="4" customWidth="1"/>
    <col min="9987" max="9992" width="10.7109375" style="4" customWidth="1"/>
    <col min="9993" max="9994" width="9.42578125" style="4" bestFit="1" customWidth="1"/>
    <col min="9995" max="10240" width="8.85546875" style="4"/>
    <col min="10241" max="10241" width="1.7109375" style="4" customWidth="1"/>
    <col min="10242" max="10242" width="40.7109375" style="4" customWidth="1"/>
    <col min="10243" max="10248" width="10.7109375" style="4" customWidth="1"/>
    <col min="10249" max="10250" width="9.42578125" style="4" bestFit="1" customWidth="1"/>
    <col min="10251" max="10496" width="8.85546875" style="4"/>
    <col min="10497" max="10497" width="1.7109375" style="4" customWidth="1"/>
    <col min="10498" max="10498" width="40.7109375" style="4" customWidth="1"/>
    <col min="10499" max="10504" width="10.7109375" style="4" customWidth="1"/>
    <col min="10505" max="10506" width="9.42578125" style="4" bestFit="1" customWidth="1"/>
    <col min="10507" max="10752" width="8.85546875" style="4"/>
    <col min="10753" max="10753" width="1.7109375" style="4" customWidth="1"/>
    <col min="10754" max="10754" width="40.7109375" style="4" customWidth="1"/>
    <col min="10755" max="10760" width="10.7109375" style="4" customWidth="1"/>
    <col min="10761" max="10762" width="9.42578125" style="4" bestFit="1" customWidth="1"/>
    <col min="10763" max="11008" width="8.85546875" style="4"/>
    <col min="11009" max="11009" width="1.7109375" style="4" customWidth="1"/>
    <col min="11010" max="11010" width="40.7109375" style="4" customWidth="1"/>
    <col min="11011" max="11016" width="10.7109375" style="4" customWidth="1"/>
    <col min="11017" max="11018" width="9.42578125" style="4" bestFit="1" customWidth="1"/>
    <col min="11019" max="11264" width="8.85546875" style="4"/>
    <col min="11265" max="11265" width="1.7109375" style="4" customWidth="1"/>
    <col min="11266" max="11266" width="40.7109375" style="4" customWidth="1"/>
    <col min="11267" max="11272" width="10.7109375" style="4" customWidth="1"/>
    <col min="11273" max="11274" width="9.42578125" style="4" bestFit="1" customWidth="1"/>
    <col min="11275" max="11520" width="8.85546875" style="4"/>
    <col min="11521" max="11521" width="1.7109375" style="4" customWidth="1"/>
    <col min="11522" max="11522" width="40.7109375" style="4" customWidth="1"/>
    <col min="11523" max="11528" width="10.7109375" style="4" customWidth="1"/>
    <col min="11529" max="11530" width="9.42578125" style="4" bestFit="1" customWidth="1"/>
    <col min="11531" max="11776" width="8.85546875" style="4"/>
    <col min="11777" max="11777" width="1.7109375" style="4" customWidth="1"/>
    <col min="11778" max="11778" width="40.7109375" style="4" customWidth="1"/>
    <col min="11779" max="11784" width="10.7109375" style="4" customWidth="1"/>
    <col min="11785" max="11786" width="9.42578125" style="4" bestFit="1" customWidth="1"/>
    <col min="11787" max="12032" width="8.85546875" style="4"/>
    <col min="12033" max="12033" width="1.7109375" style="4" customWidth="1"/>
    <col min="12034" max="12034" width="40.7109375" style="4" customWidth="1"/>
    <col min="12035" max="12040" width="10.7109375" style="4" customWidth="1"/>
    <col min="12041" max="12042" width="9.42578125" style="4" bestFit="1" customWidth="1"/>
    <col min="12043" max="12288" width="8.85546875" style="4"/>
    <col min="12289" max="12289" width="1.7109375" style="4" customWidth="1"/>
    <col min="12290" max="12290" width="40.7109375" style="4" customWidth="1"/>
    <col min="12291" max="12296" width="10.7109375" style="4" customWidth="1"/>
    <col min="12297" max="12298" width="9.42578125" style="4" bestFit="1" customWidth="1"/>
    <col min="12299" max="12544" width="8.85546875" style="4"/>
    <col min="12545" max="12545" width="1.7109375" style="4" customWidth="1"/>
    <col min="12546" max="12546" width="40.7109375" style="4" customWidth="1"/>
    <col min="12547" max="12552" width="10.7109375" style="4" customWidth="1"/>
    <col min="12553" max="12554" width="9.42578125" style="4" bestFit="1" customWidth="1"/>
    <col min="12555" max="12800" width="8.85546875" style="4"/>
    <col min="12801" max="12801" width="1.7109375" style="4" customWidth="1"/>
    <col min="12802" max="12802" width="40.7109375" style="4" customWidth="1"/>
    <col min="12803" max="12808" width="10.7109375" style="4" customWidth="1"/>
    <col min="12809" max="12810" width="9.42578125" style="4" bestFit="1" customWidth="1"/>
    <col min="12811" max="13056" width="8.85546875" style="4"/>
    <col min="13057" max="13057" width="1.7109375" style="4" customWidth="1"/>
    <col min="13058" max="13058" width="40.7109375" style="4" customWidth="1"/>
    <col min="13059" max="13064" width="10.7109375" style="4" customWidth="1"/>
    <col min="13065" max="13066" width="9.42578125" style="4" bestFit="1" customWidth="1"/>
    <col min="13067" max="13312" width="8.85546875" style="4"/>
    <col min="13313" max="13313" width="1.7109375" style="4" customWidth="1"/>
    <col min="13314" max="13314" width="40.7109375" style="4" customWidth="1"/>
    <col min="13315" max="13320" width="10.7109375" style="4" customWidth="1"/>
    <col min="13321" max="13322" width="9.42578125" style="4" bestFit="1" customWidth="1"/>
    <col min="13323" max="13568" width="8.85546875" style="4"/>
    <col min="13569" max="13569" width="1.7109375" style="4" customWidth="1"/>
    <col min="13570" max="13570" width="40.7109375" style="4" customWidth="1"/>
    <col min="13571" max="13576" width="10.7109375" style="4" customWidth="1"/>
    <col min="13577" max="13578" width="9.42578125" style="4" bestFit="1" customWidth="1"/>
    <col min="13579" max="13824" width="8.85546875" style="4"/>
    <col min="13825" max="13825" width="1.7109375" style="4" customWidth="1"/>
    <col min="13826" max="13826" width="40.7109375" style="4" customWidth="1"/>
    <col min="13827" max="13832" width="10.7109375" style="4" customWidth="1"/>
    <col min="13833" max="13834" width="9.42578125" style="4" bestFit="1" customWidth="1"/>
    <col min="13835" max="14080" width="8.85546875" style="4"/>
    <col min="14081" max="14081" width="1.7109375" style="4" customWidth="1"/>
    <col min="14082" max="14082" width="40.7109375" style="4" customWidth="1"/>
    <col min="14083" max="14088" width="10.7109375" style="4" customWidth="1"/>
    <col min="14089" max="14090" width="9.42578125" style="4" bestFit="1" customWidth="1"/>
    <col min="14091" max="14336" width="8.85546875" style="4"/>
    <col min="14337" max="14337" width="1.7109375" style="4" customWidth="1"/>
    <col min="14338" max="14338" width="40.7109375" style="4" customWidth="1"/>
    <col min="14339" max="14344" width="10.7109375" style="4" customWidth="1"/>
    <col min="14345" max="14346" width="9.42578125" style="4" bestFit="1" customWidth="1"/>
    <col min="14347" max="14592" width="8.85546875" style="4"/>
    <col min="14593" max="14593" width="1.7109375" style="4" customWidth="1"/>
    <col min="14594" max="14594" width="40.7109375" style="4" customWidth="1"/>
    <col min="14595" max="14600" width="10.7109375" style="4" customWidth="1"/>
    <col min="14601" max="14602" width="9.42578125" style="4" bestFit="1" customWidth="1"/>
    <col min="14603" max="14848" width="8.85546875" style="4"/>
    <col min="14849" max="14849" width="1.7109375" style="4" customWidth="1"/>
    <col min="14850" max="14850" width="40.7109375" style="4" customWidth="1"/>
    <col min="14851" max="14856" width="10.7109375" style="4" customWidth="1"/>
    <col min="14857" max="14858" width="9.42578125" style="4" bestFit="1" customWidth="1"/>
    <col min="14859" max="15104" width="8.85546875" style="4"/>
    <col min="15105" max="15105" width="1.7109375" style="4" customWidth="1"/>
    <col min="15106" max="15106" width="40.7109375" style="4" customWidth="1"/>
    <col min="15107" max="15112" width="10.7109375" style="4" customWidth="1"/>
    <col min="15113" max="15114" width="9.42578125" style="4" bestFit="1" customWidth="1"/>
    <col min="15115" max="15360" width="8.85546875" style="4"/>
    <col min="15361" max="15361" width="1.7109375" style="4" customWidth="1"/>
    <col min="15362" max="15362" width="40.7109375" style="4" customWidth="1"/>
    <col min="15363" max="15368" width="10.7109375" style="4" customWidth="1"/>
    <col min="15369" max="15370" width="9.42578125" style="4" bestFit="1" customWidth="1"/>
    <col min="15371" max="15616" width="8.85546875" style="4"/>
    <col min="15617" max="15617" width="1.7109375" style="4" customWidth="1"/>
    <col min="15618" max="15618" width="40.7109375" style="4" customWidth="1"/>
    <col min="15619" max="15624" width="10.7109375" style="4" customWidth="1"/>
    <col min="15625" max="15626" width="9.42578125" style="4" bestFit="1" customWidth="1"/>
    <col min="15627" max="15872" width="8.85546875" style="4"/>
    <col min="15873" max="15873" width="1.7109375" style="4" customWidth="1"/>
    <col min="15874" max="15874" width="40.7109375" style="4" customWidth="1"/>
    <col min="15875" max="15880" width="10.7109375" style="4" customWidth="1"/>
    <col min="15881" max="15882" width="9.42578125" style="4" bestFit="1" customWidth="1"/>
    <col min="15883" max="16128" width="8.85546875" style="4"/>
    <col min="16129" max="16129" width="1.7109375" style="4" customWidth="1"/>
    <col min="16130" max="16130" width="40.7109375" style="4" customWidth="1"/>
    <col min="16131" max="16136" width="10.7109375" style="4" customWidth="1"/>
    <col min="16137" max="16138" width="9.42578125" style="4" bestFit="1" customWidth="1"/>
    <col min="16139" max="16384" width="8.85546875" style="4"/>
  </cols>
  <sheetData>
    <row r="1" spans="1:15" s="2" customFormat="1" ht="19.5" x14ac:dyDescent="0.3">
      <c r="A1" s="272" t="str">
        <f>CoName</f>
        <v>Nike Inc.</v>
      </c>
      <c r="B1" s="3"/>
      <c r="C1" s="43" t="s">
        <v>0</v>
      </c>
      <c r="D1" s="43" t="s">
        <v>0</v>
      </c>
      <c r="E1" s="43" t="s">
        <v>0</v>
      </c>
      <c r="F1" s="43" t="s">
        <v>1</v>
      </c>
      <c r="G1" s="43" t="s">
        <v>1</v>
      </c>
      <c r="H1" s="43" t="s">
        <v>1</v>
      </c>
      <c r="I1" s="43" t="s">
        <v>1</v>
      </c>
      <c r="J1" s="43" t="s">
        <v>1</v>
      </c>
      <c r="K1" s="43"/>
      <c r="L1" s="43"/>
      <c r="M1" s="43"/>
      <c r="N1" s="43"/>
      <c r="O1" s="43"/>
    </row>
    <row r="2" spans="1:15" s="2" customFormat="1" x14ac:dyDescent="0.25">
      <c r="A2" s="174" t="s">
        <v>85</v>
      </c>
      <c r="B2" s="175"/>
      <c r="C2" s="181">
        <v>2023</v>
      </c>
      <c r="D2" s="181">
        <f>C2+1</f>
        <v>2024</v>
      </c>
      <c r="E2" s="181">
        <f t="shared" ref="E2:M2" si="0">D2+1</f>
        <v>2025</v>
      </c>
      <c r="F2" s="181">
        <f t="shared" si="0"/>
        <v>2026</v>
      </c>
      <c r="G2" s="181">
        <f t="shared" si="0"/>
        <v>2027</v>
      </c>
      <c r="H2" s="181">
        <f t="shared" si="0"/>
        <v>2028</v>
      </c>
      <c r="I2" s="181">
        <f t="shared" si="0"/>
        <v>2029</v>
      </c>
      <c r="J2" s="181">
        <f t="shared" si="0"/>
        <v>2030</v>
      </c>
      <c r="K2" s="207"/>
      <c r="L2" s="207"/>
      <c r="M2" s="207"/>
      <c r="N2" s="207"/>
      <c r="O2" s="207"/>
    </row>
    <row r="3" spans="1:15" x14ac:dyDescent="0.25">
      <c r="B3" s="4" t="s">
        <v>157</v>
      </c>
      <c r="F3" s="4">
        <f>IncState!F35</f>
        <v>2286.693261873495</v>
      </c>
      <c r="G3" s="4">
        <f>IncState!G35</f>
        <v>2826.504458036879</v>
      </c>
      <c r="H3" s="4">
        <f>IncState!H35</f>
        <v>3456.6295095578475</v>
      </c>
      <c r="I3" s="4">
        <f>IncState!I35</f>
        <v>4176.2225631217061</v>
      </c>
      <c r="J3" s="4">
        <f>IncState!J35</f>
        <v>5004.9133736962049</v>
      </c>
    </row>
    <row r="4" spans="1:15" x14ac:dyDescent="0.25">
      <c r="A4" s="4" t="s">
        <v>225</v>
      </c>
      <c r="B4" s="4" t="s">
        <v>15</v>
      </c>
      <c r="F4" s="4">
        <f>Calcs!F8</f>
        <v>748.34</v>
      </c>
      <c r="G4" s="4">
        <f>Calcs!G8</f>
        <v>731.21720698100921</v>
      </c>
      <c r="H4" s="4">
        <f>Calcs!H8</f>
        <v>722.83512020460182</v>
      </c>
      <c r="I4" s="4">
        <f>Calcs!I8</f>
        <v>722.68251658830673</v>
      </c>
      <c r="J4" s="4">
        <f>Calcs!J8</f>
        <v>730.47437708603979</v>
      </c>
    </row>
    <row r="5" spans="1:15" x14ac:dyDescent="0.25">
      <c r="A5" s="4" t="s">
        <v>225</v>
      </c>
      <c r="B5" s="4" t="s">
        <v>54</v>
      </c>
      <c r="F5" s="4">
        <f>IncState!F7</f>
        <v>0</v>
      </c>
      <c r="G5" s="4">
        <f>IncState!G7</f>
        <v>0</v>
      </c>
      <c r="H5" s="4">
        <f>IncState!H7</f>
        <v>0</v>
      </c>
      <c r="I5" s="4">
        <f>IncState!I7</f>
        <v>0</v>
      </c>
      <c r="J5" s="4">
        <f>IncState!J7</f>
        <v>0</v>
      </c>
    </row>
    <row r="6" spans="1:15" x14ac:dyDescent="0.25">
      <c r="B6" s="4" t="s">
        <v>226</v>
      </c>
      <c r="F6" s="4">
        <f>Calcs!F25</f>
        <v>288.07547360881472</v>
      </c>
      <c r="G6" s="4">
        <f>Calcs!G25</f>
        <v>-206.66048539460098</v>
      </c>
      <c r="H6" s="4">
        <f>Calcs!H25</f>
        <v>-235.30272763838184</v>
      </c>
      <c r="I6" s="4">
        <f>Calcs!I25</f>
        <v>-268.93484608069411</v>
      </c>
      <c r="J6" s="4">
        <f>Calcs!J25</f>
        <v>-309.43326514352884</v>
      </c>
    </row>
    <row r="7" spans="1:15" x14ac:dyDescent="0.25">
      <c r="B7" s="4" t="s">
        <v>227</v>
      </c>
      <c r="F7" s="4">
        <f>BalSheet!E22-BalSheet!F22</f>
        <v>-456.26401412467567</v>
      </c>
      <c r="G7" s="4">
        <f>BalSheet!F22-BalSheet!G22</f>
        <v>-513.81642894568176</v>
      </c>
      <c r="H7" s="4">
        <f>BalSheet!G22-BalSheet!H22</f>
        <v>-585.02914577733463</v>
      </c>
      <c r="I7" s="4">
        <f>BalSheet!H22-BalSheet!I22</f>
        <v>-668.64810642629345</v>
      </c>
      <c r="J7" s="4">
        <f>BalSheet!I22-BalSheet!J22</f>
        <v>-769.33863282798666</v>
      </c>
    </row>
    <row r="8" spans="1:15" x14ac:dyDescent="0.25">
      <c r="B8" s="4" t="s">
        <v>228</v>
      </c>
      <c r="F8" s="4">
        <f>BalSheet!F33-BalSheet!E33</f>
        <v>279.8303630354003</v>
      </c>
      <c r="G8" s="4">
        <f>BalSheet!G33-BalSheet!F33</f>
        <v>315.12771858911947</v>
      </c>
      <c r="H8" s="4">
        <f>BalSheet!H33-BalSheet!G33</f>
        <v>358.8030464406238</v>
      </c>
      <c r="I8" s="4">
        <f>BalSheet!I33-BalSheet!H33</f>
        <v>410.08722268654492</v>
      </c>
      <c r="J8" s="4">
        <f>BalSheet!J33-BalSheet!I33</f>
        <v>471.84152652149805</v>
      </c>
    </row>
    <row r="9" spans="1:15" s="11" customFormat="1" x14ac:dyDescent="0.25">
      <c r="B9" s="11" t="s">
        <v>229</v>
      </c>
      <c r="F9" s="11">
        <f>SUM(F3:F8)</f>
        <v>3146.6750843930345</v>
      </c>
      <c r="G9" s="11">
        <f t="shared" ref="G9:J9" si="1">SUM(G3:G8)</f>
        <v>3152.3724692667247</v>
      </c>
      <c r="H9" s="11">
        <f t="shared" si="1"/>
        <v>3717.9358027873568</v>
      </c>
      <c r="I9" s="11">
        <f t="shared" si="1"/>
        <v>4371.40934988957</v>
      </c>
      <c r="J9" s="11">
        <f t="shared" si="1"/>
        <v>5128.457379332227</v>
      </c>
      <c r="K9" s="296"/>
      <c r="L9" s="296"/>
      <c r="M9" s="296"/>
    </row>
    <row r="10" spans="1:15" x14ac:dyDescent="0.25">
      <c r="I10" s="4"/>
      <c r="J10" s="4"/>
    </row>
    <row r="11" spans="1:15" x14ac:dyDescent="0.25">
      <c r="B11" s="4" t="s">
        <v>14</v>
      </c>
      <c r="F11" s="4">
        <f>Calcs!F7</f>
        <v>637.87036761941442</v>
      </c>
      <c r="G11" s="4">
        <f>Calcs!G7</f>
        <v>677.13922777838093</v>
      </c>
      <c r="H11" s="4">
        <f>Calcs!H7</f>
        <v>721.85058074463359</v>
      </c>
      <c r="I11" s="4">
        <f>Calcs!I7</f>
        <v>772.95258431561649</v>
      </c>
      <c r="J11" s="4">
        <f>Calcs!J7</f>
        <v>831.74994750893404</v>
      </c>
    </row>
    <row r="12" spans="1:15" s="11" customFormat="1" x14ac:dyDescent="0.25">
      <c r="B12" s="11" t="s">
        <v>230</v>
      </c>
      <c r="F12" s="11">
        <f>-F11</f>
        <v>-637.87036761941442</v>
      </c>
      <c r="G12" s="11">
        <f t="shared" ref="G12:J12" si="2">-G11</f>
        <v>-677.13922777838093</v>
      </c>
      <c r="H12" s="11">
        <f t="shared" si="2"/>
        <v>-721.85058074463359</v>
      </c>
      <c r="I12" s="11">
        <f t="shared" si="2"/>
        <v>-772.95258431561649</v>
      </c>
      <c r="J12" s="11">
        <f t="shared" si="2"/>
        <v>-831.74994750893404</v>
      </c>
      <c r="K12" s="296"/>
      <c r="L12" s="296"/>
      <c r="M12" s="296"/>
    </row>
    <row r="13" spans="1:15" x14ac:dyDescent="0.25">
      <c r="I13" s="4"/>
      <c r="J13" s="4"/>
    </row>
    <row r="14" spans="1:15" x14ac:dyDescent="0.25">
      <c r="B14" s="4" t="s">
        <v>231</v>
      </c>
      <c r="F14" s="4">
        <f>IncState!F37*-1</f>
        <v>-2245.7875951242509</v>
      </c>
      <c r="G14" s="4">
        <f>IncState!G37*-1</f>
        <v>-2191.5751902485017</v>
      </c>
      <c r="H14" s="4">
        <f>IncState!H37*-1</f>
        <v>-2191.5751902485017</v>
      </c>
      <c r="I14" s="4">
        <f>IncState!I37*-1</f>
        <v>-2191.5751902485017</v>
      </c>
      <c r="J14" s="4">
        <f>IncState!J37*-1</f>
        <v>-2191.5751902485017</v>
      </c>
    </row>
    <row r="15" spans="1:15" x14ac:dyDescent="0.25">
      <c r="B15" s="4" t="s">
        <v>144</v>
      </c>
      <c r="F15" s="4">
        <f>Calcs!F11</f>
        <v>-3000</v>
      </c>
      <c r="G15" s="4">
        <f>Calcs!G11</f>
        <v>-3000</v>
      </c>
      <c r="H15" s="4">
        <f>Calcs!H11</f>
        <v>0</v>
      </c>
      <c r="I15" s="4">
        <f>Calcs!I11</f>
        <v>0</v>
      </c>
      <c r="J15" s="4">
        <f>Calcs!J11</f>
        <v>0</v>
      </c>
    </row>
    <row r="16" spans="1:15" x14ac:dyDescent="0.25">
      <c r="B16" s="4" t="s">
        <v>232</v>
      </c>
      <c r="F16" s="4">
        <f>SUM(Debt!F8:F9)</f>
        <v>0</v>
      </c>
      <c r="G16" s="4">
        <f>SUM(Debt!G8:G9)</f>
        <v>0</v>
      </c>
      <c r="H16" s="4">
        <f>SUM(Debt!H8:H9)</f>
        <v>0</v>
      </c>
      <c r="I16" s="4">
        <f>SUM(Debt!I8:I9)</f>
        <v>0</v>
      </c>
      <c r="J16" s="4">
        <f>SUM(Debt!J8:J9)</f>
        <v>0</v>
      </c>
    </row>
    <row r="17" spans="2:13" s="11" customFormat="1" x14ac:dyDescent="0.25">
      <c r="B17" s="11" t="s">
        <v>233</v>
      </c>
      <c r="F17" s="11">
        <f>SUM(F14:F16)</f>
        <v>-5245.7875951242513</v>
      </c>
      <c r="G17" s="11">
        <f t="shared" ref="G17:J17" si="3">SUM(G14:G16)</f>
        <v>-5191.5751902485017</v>
      </c>
      <c r="H17" s="11">
        <f t="shared" si="3"/>
        <v>-2191.5751902485017</v>
      </c>
      <c r="I17" s="11">
        <f t="shared" si="3"/>
        <v>-2191.5751902485017</v>
      </c>
      <c r="J17" s="11">
        <f t="shared" si="3"/>
        <v>-2191.5751902485017</v>
      </c>
      <c r="K17" s="296"/>
      <c r="L17" s="296"/>
      <c r="M17" s="296"/>
    </row>
    <row r="18" spans="2:13" x14ac:dyDescent="0.25">
      <c r="I18" s="4"/>
      <c r="J18" s="4"/>
    </row>
    <row r="19" spans="2:13" x14ac:dyDescent="0.25">
      <c r="B19" s="4" t="s">
        <v>234</v>
      </c>
      <c r="F19" s="4">
        <f>SUM(F17,F12,F9)</f>
        <v>-2736.9828783506314</v>
      </c>
      <c r="G19" s="4">
        <f t="shared" ref="G19:J19" si="4">SUM(G17,G12,G9)</f>
        <v>-2716.3419487601577</v>
      </c>
      <c r="H19" s="4">
        <f t="shared" si="4"/>
        <v>804.5100317942215</v>
      </c>
      <c r="I19" s="4">
        <f t="shared" si="4"/>
        <v>1406.8815753254516</v>
      </c>
      <c r="J19" s="4">
        <f t="shared" si="4"/>
        <v>2105.1322415747914</v>
      </c>
    </row>
    <row r="20" spans="2:13" x14ac:dyDescent="0.25">
      <c r="I20" s="4"/>
      <c r="J20" s="4"/>
    </row>
    <row r="21" spans="2:13" x14ac:dyDescent="0.25">
      <c r="B21" s="4" t="s">
        <v>235</v>
      </c>
      <c r="F21" s="4">
        <f>BalSheet!E14</f>
        <v>9151</v>
      </c>
      <c r="G21" s="4">
        <f>BalSheet!F14</f>
        <v>6414.0171216493691</v>
      </c>
      <c r="H21" s="4">
        <f>BalSheet!G14</f>
        <v>3697.6751728892114</v>
      </c>
      <c r="I21" s="4">
        <f>BalSheet!H14</f>
        <v>4502.1852046834329</v>
      </c>
      <c r="J21" s="4">
        <f>BalSheet!I14</f>
        <v>5909.066780008885</v>
      </c>
    </row>
    <row r="22" spans="2:13" x14ac:dyDescent="0.25">
      <c r="B22" s="4" t="s">
        <v>236</v>
      </c>
      <c r="F22" s="4">
        <f>F19</f>
        <v>-2736.9828783506314</v>
      </c>
      <c r="G22" s="4">
        <f t="shared" ref="G22:J22" si="5">G19</f>
        <v>-2716.3419487601577</v>
      </c>
      <c r="H22" s="4">
        <f t="shared" si="5"/>
        <v>804.5100317942215</v>
      </c>
      <c r="I22" s="4">
        <f t="shared" si="5"/>
        <v>1406.8815753254516</v>
      </c>
      <c r="J22" s="4">
        <f t="shared" si="5"/>
        <v>2105.1322415747914</v>
      </c>
    </row>
    <row r="23" spans="2:13" x14ac:dyDescent="0.25">
      <c r="B23" s="4" t="s">
        <v>237</v>
      </c>
      <c r="F23" s="4">
        <f>SUM(F21:F22)</f>
        <v>6414.0171216493691</v>
      </c>
      <c r="G23" s="4">
        <f t="shared" ref="G23:J23" si="6">SUM(G21:G22)</f>
        <v>3697.6751728892114</v>
      </c>
      <c r="H23" s="4">
        <f t="shared" si="6"/>
        <v>4502.1852046834329</v>
      </c>
      <c r="I23" s="4">
        <f t="shared" si="6"/>
        <v>5909.066780008885</v>
      </c>
      <c r="J23" s="4">
        <f t="shared" si="6"/>
        <v>8014.1990215836759</v>
      </c>
    </row>
  </sheetData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&amp;L&amp;8&amp;F &amp;A</oddHeader>
    <oddFooter>&amp;R&amp;8&amp;P of &amp;N&amp;L&amp;8© AMT Training 2008 - 2017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>
    <pageSetUpPr autoPageBreaks="0" fitToPage="1"/>
  </sheetPr>
  <dimension ref="A1:O30"/>
  <sheetViews>
    <sheetView showGridLines="0" zoomScaleNormal="100" workbookViewId="0">
      <selection activeCell="F15" sqref="F15"/>
    </sheetView>
  </sheetViews>
  <sheetFormatPr defaultColWidth="8.85546875" defaultRowHeight="15" x14ac:dyDescent="0.25"/>
  <cols>
    <col min="1" max="1" width="1.7109375" style="11" customWidth="1"/>
    <col min="2" max="2" width="40.7109375" style="4" customWidth="1"/>
    <col min="3" max="8" width="11.7109375" style="4" customWidth="1"/>
    <col min="9" max="10" width="11.7109375" style="6" customWidth="1"/>
    <col min="11" max="13" width="11.7109375" style="292" customWidth="1"/>
    <col min="14" max="256" width="8.85546875" style="4"/>
    <col min="257" max="257" width="1.7109375" style="4" customWidth="1"/>
    <col min="258" max="258" width="40.7109375" style="4" customWidth="1"/>
    <col min="259" max="264" width="10.7109375" style="4" customWidth="1"/>
    <col min="265" max="266" width="9.42578125" style="4" bestFit="1" customWidth="1"/>
    <col min="267" max="512" width="8.85546875" style="4"/>
    <col min="513" max="513" width="1.7109375" style="4" customWidth="1"/>
    <col min="514" max="514" width="40.7109375" style="4" customWidth="1"/>
    <col min="515" max="520" width="10.7109375" style="4" customWidth="1"/>
    <col min="521" max="522" width="9.42578125" style="4" bestFit="1" customWidth="1"/>
    <col min="523" max="768" width="8.85546875" style="4"/>
    <col min="769" max="769" width="1.7109375" style="4" customWidth="1"/>
    <col min="770" max="770" width="40.7109375" style="4" customWidth="1"/>
    <col min="771" max="776" width="10.7109375" style="4" customWidth="1"/>
    <col min="777" max="778" width="9.42578125" style="4" bestFit="1" customWidth="1"/>
    <col min="779" max="1024" width="8.85546875" style="4"/>
    <col min="1025" max="1025" width="1.7109375" style="4" customWidth="1"/>
    <col min="1026" max="1026" width="40.7109375" style="4" customWidth="1"/>
    <col min="1027" max="1032" width="10.7109375" style="4" customWidth="1"/>
    <col min="1033" max="1034" width="9.42578125" style="4" bestFit="1" customWidth="1"/>
    <col min="1035" max="1280" width="8.85546875" style="4"/>
    <col min="1281" max="1281" width="1.7109375" style="4" customWidth="1"/>
    <col min="1282" max="1282" width="40.7109375" style="4" customWidth="1"/>
    <col min="1283" max="1288" width="10.7109375" style="4" customWidth="1"/>
    <col min="1289" max="1290" width="9.42578125" style="4" bestFit="1" customWidth="1"/>
    <col min="1291" max="1536" width="8.85546875" style="4"/>
    <col min="1537" max="1537" width="1.7109375" style="4" customWidth="1"/>
    <col min="1538" max="1538" width="40.7109375" style="4" customWidth="1"/>
    <col min="1539" max="1544" width="10.7109375" style="4" customWidth="1"/>
    <col min="1545" max="1546" width="9.42578125" style="4" bestFit="1" customWidth="1"/>
    <col min="1547" max="1792" width="8.85546875" style="4"/>
    <col min="1793" max="1793" width="1.7109375" style="4" customWidth="1"/>
    <col min="1794" max="1794" width="40.7109375" style="4" customWidth="1"/>
    <col min="1795" max="1800" width="10.7109375" style="4" customWidth="1"/>
    <col min="1801" max="1802" width="9.42578125" style="4" bestFit="1" customWidth="1"/>
    <col min="1803" max="2048" width="8.85546875" style="4"/>
    <col min="2049" max="2049" width="1.7109375" style="4" customWidth="1"/>
    <col min="2050" max="2050" width="40.7109375" style="4" customWidth="1"/>
    <col min="2051" max="2056" width="10.7109375" style="4" customWidth="1"/>
    <col min="2057" max="2058" width="9.42578125" style="4" bestFit="1" customWidth="1"/>
    <col min="2059" max="2304" width="8.85546875" style="4"/>
    <col min="2305" max="2305" width="1.7109375" style="4" customWidth="1"/>
    <col min="2306" max="2306" width="40.7109375" style="4" customWidth="1"/>
    <col min="2307" max="2312" width="10.7109375" style="4" customWidth="1"/>
    <col min="2313" max="2314" width="9.42578125" style="4" bestFit="1" customWidth="1"/>
    <col min="2315" max="2560" width="8.85546875" style="4"/>
    <col min="2561" max="2561" width="1.7109375" style="4" customWidth="1"/>
    <col min="2562" max="2562" width="40.7109375" style="4" customWidth="1"/>
    <col min="2563" max="2568" width="10.7109375" style="4" customWidth="1"/>
    <col min="2569" max="2570" width="9.42578125" style="4" bestFit="1" customWidth="1"/>
    <col min="2571" max="2816" width="8.85546875" style="4"/>
    <col min="2817" max="2817" width="1.7109375" style="4" customWidth="1"/>
    <col min="2818" max="2818" width="40.7109375" style="4" customWidth="1"/>
    <col min="2819" max="2824" width="10.7109375" style="4" customWidth="1"/>
    <col min="2825" max="2826" width="9.42578125" style="4" bestFit="1" customWidth="1"/>
    <col min="2827" max="3072" width="8.85546875" style="4"/>
    <col min="3073" max="3073" width="1.7109375" style="4" customWidth="1"/>
    <col min="3074" max="3074" width="40.7109375" style="4" customWidth="1"/>
    <col min="3075" max="3080" width="10.7109375" style="4" customWidth="1"/>
    <col min="3081" max="3082" width="9.42578125" style="4" bestFit="1" customWidth="1"/>
    <col min="3083" max="3328" width="8.85546875" style="4"/>
    <col min="3329" max="3329" width="1.7109375" style="4" customWidth="1"/>
    <col min="3330" max="3330" width="40.7109375" style="4" customWidth="1"/>
    <col min="3331" max="3336" width="10.7109375" style="4" customWidth="1"/>
    <col min="3337" max="3338" width="9.42578125" style="4" bestFit="1" customWidth="1"/>
    <col min="3339" max="3584" width="8.85546875" style="4"/>
    <col min="3585" max="3585" width="1.7109375" style="4" customWidth="1"/>
    <col min="3586" max="3586" width="40.7109375" style="4" customWidth="1"/>
    <col min="3587" max="3592" width="10.7109375" style="4" customWidth="1"/>
    <col min="3593" max="3594" width="9.42578125" style="4" bestFit="1" customWidth="1"/>
    <col min="3595" max="3840" width="8.85546875" style="4"/>
    <col min="3841" max="3841" width="1.7109375" style="4" customWidth="1"/>
    <col min="3842" max="3842" width="40.7109375" style="4" customWidth="1"/>
    <col min="3843" max="3848" width="10.7109375" style="4" customWidth="1"/>
    <col min="3849" max="3850" width="9.42578125" style="4" bestFit="1" customWidth="1"/>
    <col min="3851" max="4096" width="8.85546875" style="4"/>
    <col min="4097" max="4097" width="1.7109375" style="4" customWidth="1"/>
    <col min="4098" max="4098" width="40.7109375" style="4" customWidth="1"/>
    <col min="4099" max="4104" width="10.7109375" style="4" customWidth="1"/>
    <col min="4105" max="4106" width="9.42578125" style="4" bestFit="1" customWidth="1"/>
    <col min="4107" max="4352" width="8.85546875" style="4"/>
    <col min="4353" max="4353" width="1.7109375" style="4" customWidth="1"/>
    <col min="4354" max="4354" width="40.7109375" style="4" customWidth="1"/>
    <col min="4355" max="4360" width="10.7109375" style="4" customWidth="1"/>
    <col min="4361" max="4362" width="9.42578125" style="4" bestFit="1" customWidth="1"/>
    <col min="4363" max="4608" width="8.85546875" style="4"/>
    <col min="4609" max="4609" width="1.7109375" style="4" customWidth="1"/>
    <col min="4610" max="4610" width="40.7109375" style="4" customWidth="1"/>
    <col min="4611" max="4616" width="10.7109375" style="4" customWidth="1"/>
    <col min="4617" max="4618" width="9.42578125" style="4" bestFit="1" customWidth="1"/>
    <col min="4619" max="4864" width="8.85546875" style="4"/>
    <col min="4865" max="4865" width="1.7109375" style="4" customWidth="1"/>
    <col min="4866" max="4866" width="40.7109375" style="4" customWidth="1"/>
    <col min="4867" max="4872" width="10.7109375" style="4" customWidth="1"/>
    <col min="4873" max="4874" width="9.42578125" style="4" bestFit="1" customWidth="1"/>
    <col min="4875" max="5120" width="8.85546875" style="4"/>
    <col min="5121" max="5121" width="1.7109375" style="4" customWidth="1"/>
    <col min="5122" max="5122" width="40.7109375" style="4" customWidth="1"/>
    <col min="5123" max="5128" width="10.7109375" style="4" customWidth="1"/>
    <col min="5129" max="5130" width="9.42578125" style="4" bestFit="1" customWidth="1"/>
    <col min="5131" max="5376" width="8.85546875" style="4"/>
    <col min="5377" max="5377" width="1.7109375" style="4" customWidth="1"/>
    <col min="5378" max="5378" width="40.7109375" style="4" customWidth="1"/>
    <col min="5379" max="5384" width="10.7109375" style="4" customWidth="1"/>
    <col min="5385" max="5386" width="9.42578125" style="4" bestFit="1" customWidth="1"/>
    <col min="5387" max="5632" width="8.85546875" style="4"/>
    <col min="5633" max="5633" width="1.7109375" style="4" customWidth="1"/>
    <col min="5634" max="5634" width="40.7109375" style="4" customWidth="1"/>
    <col min="5635" max="5640" width="10.7109375" style="4" customWidth="1"/>
    <col min="5641" max="5642" width="9.42578125" style="4" bestFit="1" customWidth="1"/>
    <col min="5643" max="5888" width="8.85546875" style="4"/>
    <col min="5889" max="5889" width="1.7109375" style="4" customWidth="1"/>
    <col min="5890" max="5890" width="40.7109375" style="4" customWidth="1"/>
    <col min="5891" max="5896" width="10.7109375" style="4" customWidth="1"/>
    <col min="5897" max="5898" width="9.42578125" style="4" bestFit="1" customWidth="1"/>
    <col min="5899" max="6144" width="8.85546875" style="4"/>
    <col min="6145" max="6145" width="1.7109375" style="4" customWidth="1"/>
    <col min="6146" max="6146" width="40.7109375" style="4" customWidth="1"/>
    <col min="6147" max="6152" width="10.7109375" style="4" customWidth="1"/>
    <col min="6153" max="6154" width="9.42578125" style="4" bestFit="1" customWidth="1"/>
    <col min="6155" max="6400" width="8.85546875" style="4"/>
    <col min="6401" max="6401" width="1.7109375" style="4" customWidth="1"/>
    <col min="6402" max="6402" width="40.7109375" style="4" customWidth="1"/>
    <col min="6403" max="6408" width="10.7109375" style="4" customWidth="1"/>
    <col min="6409" max="6410" width="9.42578125" style="4" bestFit="1" customWidth="1"/>
    <col min="6411" max="6656" width="8.85546875" style="4"/>
    <col min="6657" max="6657" width="1.7109375" style="4" customWidth="1"/>
    <col min="6658" max="6658" width="40.7109375" style="4" customWidth="1"/>
    <col min="6659" max="6664" width="10.7109375" style="4" customWidth="1"/>
    <col min="6665" max="6666" width="9.42578125" style="4" bestFit="1" customWidth="1"/>
    <col min="6667" max="6912" width="8.85546875" style="4"/>
    <col min="6913" max="6913" width="1.7109375" style="4" customWidth="1"/>
    <col min="6914" max="6914" width="40.7109375" style="4" customWidth="1"/>
    <col min="6915" max="6920" width="10.7109375" style="4" customWidth="1"/>
    <col min="6921" max="6922" width="9.42578125" style="4" bestFit="1" customWidth="1"/>
    <col min="6923" max="7168" width="8.85546875" style="4"/>
    <col min="7169" max="7169" width="1.7109375" style="4" customWidth="1"/>
    <col min="7170" max="7170" width="40.7109375" style="4" customWidth="1"/>
    <col min="7171" max="7176" width="10.7109375" style="4" customWidth="1"/>
    <col min="7177" max="7178" width="9.42578125" style="4" bestFit="1" customWidth="1"/>
    <col min="7179" max="7424" width="8.85546875" style="4"/>
    <col min="7425" max="7425" width="1.7109375" style="4" customWidth="1"/>
    <col min="7426" max="7426" width="40.7109375" style="4" customWidth="1"/>
    <col min="7427" max="7432" width="10.7109375" style="4" customWidth="1"/>
    <col min="7433" max="7434" width="9.42578125" style="4" bestFit="1" customWidth="1"/>
    <col min="7435" max="7680" width="8.85546875" style="4"/>
    <col min="7681" max="7681" width="1.7109375" style="4" customWidth="1"/>
    <col min="7682" max="7682" width="40.7109375" style="4" customWidth="1"/>
    <col min="7683" max="7688" width="10.7109375" style="4" customWidth="1"/>
    <col min="7689" max="7690" width="9.42578125" style="4" bestFit="1" customWidth="1"/>
    <col min="7691" max="7936" width="8.85546875" style="4"/>
    <col min="7937" max="7937" width="1.7109375" style="4" customWidth="1"/>
    <col min="7938" max="7938" width="40.7109375" style="4" customWidth="1"/>
    <col min="7939" max="7944" width="10.7109375" style="4" customWidth="1"/>
    <col min="7945" max="7946" width="9.42578125" style="4" bestFit="1" customWidth="1"/>
    <col min="7947" max="8192" width="8.85546875" style="4"/>
    <col min="8193" max="8193" width="1.7109375" style="4" customWidth="1"/>
    <col min="8194" max="8194" width="40.7109375" style="4" customWidth="1"/>
    <col min="8195" max="8200" width="10.7109375" style="4" customWidth="1"/>
    <col min="8201" max="8202" width="9.42578125" style="4" bestFit="1" customWidth="1"/>
    <col min="8203" max="8448" width="8.85546875" style="4"/>
    <col min="8449" max="8449" width="1.7109375" style="4" customWidth="1"/>
    <col min="8450" max="8450" width="40.7109375" style="4" customWidth="1"/>
    <col min="8451" max="8456" width="10.7109375" style="4" customWidth="1"/>
    <col min="8457" max="8458" width="9.42578125" style="4" bestFit="1" customWidth="1"/>
    <col min="8459" max="8704" width="8.85546875" style="4"/>
    <col min="8705" max="8705" width="1.7109375" style="4" customWidth="1"/>
    <col min="8706" max="8706" width="40.7109375" style="4" customWidth="1"/>
    <col min="8707" max="8712" width="10.7109375" style="4" customWidth="1"/>
    <col min="8713" max="8714" width="9.42578125" style="4" bestFit="1" customWidth="1"/>
    <col min="8715" max="8960" width="8.85546875" style="4"/>
    <col min="8961" max="8961" width="1.7109375" style="4" customWidth="1"/>
    <col min="8962" max="8962" width="40.7109375" style="4" customWidth="1"/>
    <col min="8963" max="8968" width="10.7109375" style="4" customWidth="1"/>
    <col min="8969" max="8970" width="9.42578125" style="4" bestFit="1" customWidth="1"/>
    <col min="8971" max="9216" width="8.85546875" style="4"/>
    <col min="9217" max="9217" width="1.7109375" style="4" customWidth="1"/>
    <col min="9218" max="9218" width="40.7109375" style="4" customWidth="1"/>
    <col min="9219" max="9224" width="10.7109375" style="4" customWidth="1"/>
    <col min="9225" max="9226" width="9.42578125" style="4" bestFit="1" customWidth="1"/>
    <col min="9227" max="9472" width="8.85546875" style="4"/>
    <col min="9473" max="9473" width="1.7109375" style="4" customWidth="1"/>
    <col min="9474" max="9474" width="40.7109375" style="4" customWidth="1"/>
    <col min="9475" max="9480" width="10.7109375" style="4" customWidth="1"/>
    <col min="9481" max="9482" width="9.42578125" style="4" bestFit="1" customWidth="1"/>
    <col min="9483" max="9728" width="8.85546875" style="4"/>
    <col min="9729" max="9729" width="1.7109375" style="4" customWidth="1"/>
    <col min="9730" max="9730" width="40.7109375" style="4" customWidth="1"/>
    <col min="9731" max="9736" width="10.7109375" style="4" customWidth="1"/>
    <col min="9737" max="9738" width="9.42578125" style="4" bestFit="1" customWidth="1"/>
    <col min="9739" max="9984" width="8.85546875" style="4"/>
    <col min="9985" max="9985" width="1.7109375" style="4" customWidth="1"/>
    <col min="9986" max="9986" width="40.7109375" style="4" customWidth="1"/>
    <col min="9987" max="9992" width="10.7109375" style="4" customWidth="1"/>
    <col min="9993" max="9994" width="9.42578125" style="4" bestFit="1" customWidth="1"/>
    <col min="9995" max="10240" width="8.85546875" style="4"/>
    <col min="10241" max="10241" width="1.7109375" style="4" customWidth="1"/>
    <col min="10242" max="10242" width="40.7109375" style="4" customWidth="1"/>
    <col min="10243" max="10248" width="10.7109375" style="4" customWidth="1"/>
    <col min="10249" max="10250" width="9.42578125" style="4" bestFit="1" customWidth="1"/>
    <col min="10251" max="10496" width="8.85546875" style="4"/>
    <col min="10497" max="10497" width="1.7109375" style="4" customWidth="1"/>
    <col min="10498" max="10498" width="40.7109375" style="4" customWidth="1"/>
    <col min="10499" max="10504" width="10.7109375" style="4" customWidth="1"/>
    <col min="10505" max="10506" width="9.42578125" style="4" bestFit="1" customWidth="1"/>
    <col min="10507" max="10752" width="8.85546875" style="4"/>
    <col min="10753" max="10753" width="1.7109375" style="4" customWidth="1"/>
    <col min="10754" max="10754" width="40.7109375" style="4" customWidth="1"/>
    <col min="10755" max="10760" width="10.7109375" style="4" customWidth="1"/>
    <col min="10761" max="10762" width="9.42578125" style="4" bestFit="1" customWidth="1"/>
    <col min="10763" max="11008" width="8.85546875" style="4"/>
    <col min="11009" max="11009" width="1.7109375" style="4" customWidth="1"/>
    <col min="11010" max="11010" width="40.7109375" style="4" customWidth="1"/>
    <col min="11011" max="11016" width="10.7109375" style="4" customWidth="1"/>
    <col min="11017" max="11018" width="9.42578125" style="4" bestFit="1" customWidth="1"/>
    <col min="11019" max="11264" width="8.85546875" style="4"/>
    <col min="11265" max="11265" width="1.7109375" style="4" customWidth="1"/>
    <col min="11266" max="11266" width="40.7109375" style="4" customWidth="1"/>
    <col min="11267" max="11272" width="10.7109375" style="4" customWidth="1"/>
    <col min="11273" max="11274" width="9.42578125" style="4" bestFit="1" customWidth="1"/>
    <col min="11275" max="11520" width="8.85546875" style="4"/>
    <col min="11521" max="11521" width="1.7109375" style="4" customWidth="1"/>
    <col min="11522" max="11522" width="40.7109375" style="4" customWidth="1"/>
    <col min="11523" max="11528" width="10.7109375" style="4" customWidth="1"/>
    <col min="11529" max="11530" width="9.42578125" style="4" bestFit="1" customWidth="1"/>
    <col min="11531" max="11776" width="8.85546875" style="4"/>
    <col min="11777" max="11777" width="1.7109375" style="4" customWidth="1"/>
    <col min="11778" max="11778" width="40.7109375" style="4" customWidth="1"/>
    <col min="11779" max="11784" width="10.7109375" style="4" customWidth="1"/>
    <col min="11785" max="11786" width="9.42578125" style="4" bestFit="1" customWidth="1"/>
    <col min="11787" max="12032" width="8.85546875" style="4"/>
    <col min="12033" max="12033" width="1.7109375" style="4" customWidth="1"/>
    <col min="12034" max="12034" width="40.7109375" style="4" customWidth="1"/>
    <col min="12035" max="12040" width="10.7109375" style="4" customWidth="1"/>
    <col min="12041" max="12042" width="9.42578125" style="4" bestFit="1" customWidth="1"/>
    <col min="12043" max="12288" width="8.85546875" style="4"/>
    <col min="12289" max="12289" width="1.7109375" style="4" customWidth="1"/>
    <col min="12290" max="12290" width="40.7109375" style="4" customWidth="1"/>
    <col min="12291" max="12296" width="10.7109375" style="4" customWidth="1"/>
    <col min="12297" max="12298" width="9.42578125" style="4" bestFit="1" customWidth="1"/>
    <col min="12299" max="12544" width="8.85546875" style="4"/>
    <col min="12545" max="12545" width="1.7109375" style="4" customWidth="1"/>
    <col min="12546" max="12546" width="40.7109375" style="4" customWidth="1"/>
    <col min="12547" max="12552" width="10.7109375" style="4" customWidth="1"/>
    <col min="12553" max="12554" width="9.42578125" style="4" bestFit="1" customWidth="1"/>
    <col min="12555" max="12800" width="8.85546875" style="4"/>
    <col min="12801" max="12801" width="1.7109375" style="4" customWidth="1"/>
    <col min="12802" max="12802" width="40.7109375" style="4" customWidth="1"/>
    <col min="12803" max="12808" width="10.7109375" style="4" customWidth="1"/>
    <col min="12809" max="12810" width="9.42578125" style="4" bestFit="1" customWidth="1"/>
    <col min="12811" max="13056" width="8.85546875" style="4"/>
    <col min="13057" max="13057" width="1.7109375" style="4" customWidth="1"/>
    <col min="13058" max="13058" width="40.7109375" style="4" customWidth="1"/>
    <col min="13059" max="13064" width="10.7109375" style="4" customWidth="1"/>
    <col min="13065" max="13066" width="9.42578125" style="4" bestFit="1" customWidth="1"/>
    <col min="13067" max="13312" width="8.85546875" style="4"/>
    <col min="13313" max="13313" width="1.7109375" style="4" customWidth="1"/>
    <col min="13314" max="13314" width="40.7109375" style="4" customWidth="1"/>
    <col min="13315" max="13320" width="10.7109375" style="4" customWidth="1"/>
    <col min="13321" max="13322" width="9.42578125" style="4" bestFit="1" customWidth="1"/>
    <col min="13323" max="13568" width="8.85546875" style="4"/>
    <col min="13569" max="13569" width="1.7109375" style="4" customWidth="1"/>
    <col min="13570" max="13570" width="40.7109375" style="4" customWidth="1"/>
    <col min="13571" max="13576" width="10.7109375" style="4" customWidth="1"/>
    <col min="13577" max="13578" width="9.42578125" style="4" bestFit="1" customWidth="1"/>
    <col min="13579" max="13824" width="8.85546875" style="4"/>
    <col min="13825" max="13825" width="1.7109375" style="4" customWidth="1"/>
    <col min="13826" max="13826" width="40.7109375" style="4" customWidth="1"/>
    <col min="13827" max="13832" width="10.7109375" style="4" customWidth="1"/>
    <col min="13833" max="13834" width="9.42578125" style="4" bestFit="1" customWidth="1"/>
    <col min="13835" max="14080" width="8.85546875" style="4"/>
    <col min="14081" max="14081" width="1.7109375" style="4" customWidth="1"/>
    <col min="14082" max="14082" width="40.7109375" style="4" customWidth="1"/>
    <col min="14083" max="14088" width="10.7109375" style="4" customWidth="1"/>
    <col min="14089" max="14090" width="9.42578125" style="4" bestFit="1" customWidth="1"/>
    <col min="14091" max="14336" width="8.85546875" style="4"/>
    <col min="14337" max="14337" width="1.7109375" style="4" customWidth="1"/>
    <col min="14338" max="14338" width="40.7109375" style="4" customWidth="1"/>
    <col min="14339" max="14344" width="10.7109375" style="4" customWidth="1"/>
    <col min="14345" max="14346" width="9.42578125" style="4" bestFit="1" customWidth="1"/>
    <col min="14347" max="14592" width="8.85546875" style="4"/>
    <col min="14593" max="14593" width="1.7109375" style="4" customWidth="1"/>
    <col min="14594" max="14594" width="40.7109375" style="4" customWidth="1"/>
    <col min="14595" max="14600" width="10.7109375" style="4" customWidth="1"/>
    <col min="14601" max="14602" width="9.42578125" style="4" bestFit="1" customWidth="1"/>
    <col min="14603" max="14848" width="8.85546875" style="4"/>
    <col min="14849" max="14849" width="1.7109375" style="4" customWidth="1"/>
    <col min="14850" max="14850" width="40.7109375" style="4" customWidth="1"/>
    <col min="14851" max="14856" width="10.7109375" style="4" customWidth="1"/>
    <col min="14857" max="14858" width="9.42578125" style="4" bestFit="1" customWidth="1"/>
    <col min="14859" max="15104" width="8.85546875" style="4"/>
    <col min="15105" max="15105" width="1.7109375" style="4" customWidth="1"/>
    <col min="15106" max="15106" width="40.7109375" style="4" customWidth="1"/>
    <col min="15107" max="15112" width="10.7109375" style="4" customWidth="1"/>
    <col min="15113" max="15114" width="9.42578125" style="4" bestFit="1" customWidth="1"/>
    <col min="15115" max="15360" width="8.85546875" style="4"/>
    <col min="15361" max="15361" width="1.7109375" style="4" customWidth="1"/>
    <col min="15362" max="15362" width="40.7109375" style="4" customWidth="1"/>
    <col min="15363" max="15368" width="10.7109375" style="4" customWidth="1"/>
    <col min="15369" max="15370" width="9.42578125" style="4" bestFit="1" customWidth="1"/>
    <col min="15371" max="15616" width="8.85546875" style="4"/>
    <col min="15617" max="15617" width="1.7109375" style="4" customWidth="1"/>
    <col min="15618" max="15618" width="40.7109375" style="4" customWidth="1"/>
    <col min="15619" max="15624" width="10.7109375" style="4" customWidth="1"/>
    <col min="15625" max="15626" width="9.42578125" style="4" bestFit="1" customWidth="1"/>
    <col min="15627" max="15872" width="8.85546875" style="4"/>
    <col min="15873" max="15873" width="1.7109375" style="4" customWidth="1"/>
    <col min="15874" max="15874" width="40.7109375" style="4" customWidth="1"/>
    <col min="15875" max="15880" width="10.7109375" style="4" customWidth="1"/>
    <col min="15881" max="15882" width="9.42578125" style="4" bestFit="1" customWidth="1"/>
    <col min="15883" max="16128" width="8.85546875" style="4"/>
    <col min="16129" max="16129" width="1.7109375" style="4" customWidth="1"/>
    <col min="16130" max="16130" width="40.7109375" style="4" customWidth="1"/>
    <col min="16131" max="16136" width="10.7109375" style="4" customWidth="1"/>
    <col min="16137" max="16138" width="9.42578125" style="4" bestFit="1" customWidth="1"/>
    <col min="16139" max="16384" width="8.85546875" style="4"/>
  </cols>
  <sheetData>
    <row r="1" spans="1:15" s="2" customFormat="1" ht="19.5" x14ac:dyDescent="0.3">
      <c r="A1" s="272" t="str">
        <f>CoName</f>
        <v>Nike Inc.</v>
      </c>
      <c r="B1" s="3"/>
      <c r="C1" s="43" t="s">
        <v>0</v>
      </c>
      <c r="D1" s="43" t="s">
        <v>0</v>
      </c>
      <c r="E1" s="43" t="s">
        <v>0</v>
      </c>
      <c r="F1" s="43" t="s">
        <v>1</v>
      </c>
      <c r="G1" s="43" t="s">
        <v>1</v>
      </c>
      <c r="H1" s="43" t="s">
        <v>1</v>
      </c>
      <c r="I1" s="43" t="s">
        <v>1</v>
      </c>
      <c r="J1" s="43" t="s">
        <v>1</v>
      </c>
      <c r="K1" s="43"/>
      <c r="L1" s="43"/>
      <c r="M1" s="43"/>
      <c r="N1" s="43"/>
      <c r="O1" s="43"/>
    </row>
    <row r="2" spans="1:15" s="2" customFormat="1" ht="16.350000000000001" customHeight="1" x14ac:dyDescent="0.25">
      <c r="A2" s="174" t="s">
        <v>88</v>
      </c>
      <c r="B2" s="175"/>
      <c r="C2" s="181">
        <v>2023</v>
      </c>
      <c r="D2" s="181">
        <f>C2+1</f>
        <v>2024</v>
      </c>
      <c r="E2" s="181">
        <f t="shared" ref="E2:J2" si="0">D2+1</f>
        <v>2025</v>
      </c>
      <c r="F2" s="181">
        <f t="shared" si="0"/>
        <v>2026</v>
      </c>
      <c r="G2" s="181">
        <f t="shared" si="0"/>
        <v>2027</v>
      </c>
      <c r="H2" s="181">
        <f t="shared" si="0"/>
        <v>2028</v>
      </c>
      <c r="I2" s="181">
        <f t="shared" si="0"/>
        <v>2029</v>
      </c>
      <c r="J2" s="181">
        <f t="shared" si="0"/>
        <v>2030</v>
      </c>
      <c r="K2" s="207"/>
      <c r="L2" s="207"/>
      <c r="M2" s="207"/>
      <c r="N2" s="207"/>
      <c r="O2" s="207"/>
    </row>
    <row r="3" spans="1:15" x14ac:dyDescent="0.25">
      <c r="A3" s="11" t="s">
        <v>125</v>
      </c>
      <c r="B3" s="4" t="s">
        <v>89</v>
      </c>
      <c r="E3" s="29"/>
      <c r="F3" s="4">
        <f>IncState!F16</f>
        <v>48986.963273776892</v>
      </c>
      <c r="G3" s="4">
        <f>IncState!G16</f>
        <v>52002.72056250256</v>
      </c>
      <c r="H3" s="4">
        <f>IncState!H16</f>
        <v>55436.448662857772</v>
      </c>
      <c r="I3" s="4">
        <f>IncState!I16</f>
        <v>59360.963892324849</v>
      </c>
      <c r="J3" s="4">
        <f>IncState!J16</f>
        <v>63876.464874280638</v>
      </c>
      <c r="K3" s="216"/>
      <c r="L3" s="216"/>
      <c r="M3" s="216"/>
      <c r="N3" s="216"/>
      <c r="O3" s="216"/>
    </row>
    <row r="4" spans="1:15" x14ac:dyDescent="0.25">
      <c r="B4" s="4" t="s">
        <v>55</v>
      </c>
      <c r="E4" s="29"/>
      <c r="F4" s="4">
        <f>IncState!F19</f>
        <v>2838.3665773418688</v>
      </c>
      <c r="G4" s="4">
        <f>IncState!G19</f>
        <v>3533.1305725460988</v>
      </c>
      <c r="H4" s="4">
        <f>IncState!H19</f>
        <v>4320.7868869473095</v>
      </c>
      <c r="I4" s="4">
        <f>IncState!I19</f>
        <v>5220.2782039021331</v>
      </c>
      <c r="J4" s="4">
        <f>IncState!J19</f>
        <v>6256.1417171202556</v>
      </c>
    </row>
    <row r="5" spans="1:15" x14ac:dyDescent="0.25">
      <c r="B5" s="32" t="s">
        <v>94</v>
      </c>
      <c r="C5" s="32"/>
      <c r="D5" s="32"/>
      <c r="E5" s="41"/>
      <c r="F5" s="45">
        <f>IncState!F10</f>
        <v>0.2</v>
      </c>
      <c r="G5" s="45">
        <f>IncState!G10</f>
        <v>0.2</v>
      </c>
      <c r="H5" s="45">
        <f>IncState!H10</f>
        <v>0.2</v>
      </c>
      <c r="I5" s="45">
        <f>IncState!I10</f>
        <v>0.2</v>
      </c>
      <c r="J5" s="45">
        <f>IncState!J10</f>
        <v>0.2</v>
      </c>
      <c r="K5" s="319"/>
      <c r="L5" s="319"/>
      <c r="M5" s="319"/>
      <c r="N5" s="45"/>
      <c r="O5" s="45"/>
    </row>
    <row r="6" spans="1:15" x14ac:dyDescent="0.25">
      <c r="C6" s="5"/>
      <c r="D6" s="5"/>
      <c r="E6" s="25"/>
      <c r="F6" s="5"/>
      <c r="G6" s="5"/>
      <c r="H6" s="5"/>
      <c r="I6" s="5"/>
      <c r="J6" s="5"/>
      <c r="K6" s="168"/>
      <c r="L6" s="168"/>
      <c r="M6" s="168"/>
      <c r="N6" s="168"/>
      <c r="O6" s="168"/>
    </row>
    <row r="7" spans="1:15" x14ac:dyDescent="0.25">
      <c r="A7" s="26" t="s">
        <v>125</v>
      </c>
      <c r="B7" s="23" t="s">
        <v>90</v>
      </c>
      <c r="C7" s="113"/>
      <c r="D7" s="113"/>
      <c r="E7" s="113"/>
      <c r="F7" s="126">
        <f t="shared" ref="F7:M7" si="1">F4*(1-F5)</f>
        <v>2270.693261873495</v>
      </c>
      <c r="G7" s="126">
        <f t="shared" si="1"/>
        <v>2826.5044580368794</v>
      </c>
      <c r="H7" s="126">
        <f t="shared" si="1"/>
        <v>3456.629509557848</v>
      </c>
      <c r="I7" s="126">
        <f t="shared" si="1"/>
        <v>4176.222563121707</v>
      </c>
      <c r="J7" s="161">
        <f t="shared" si="1"/>
        <v>5004.9133736962049</v>
      </c>
      <c r="K7" s="216"/>
      <c r="L7" s="216"/>
      <c r="M7" s="216"/>
      <c r="N7" s="216"/>
      <c r="O7" s="216"/>
    </row>
    <row r="8" spans="1:15" x14ac:dyDescent="0.25">
      <c r="B8" s="4" t="s">
        <v>15</v>
      </c>
      <c r="C8" s="113"/>
      <c r="D8" s="113"/>
      <c r="E8" s="114"/>
      <c r="F8" s="127">
        <f>CashFlow!F4</f>
        <v>748.34</v>
      </c>
      <c r="G8" s="127">
        <f>CashFlow!G4</f>
        <v>731.21720698100921</v>
      </c>
      <c r="H8" s="127">
        <f>CashFlow!H4</f>
        <v>722.83512020460182</v>
      </c>
      <c r="I8" s="127">
        <f>CashFlow!I4</f>
        <v>722.68251658830673</v>
      </c>
      <c r="J8" s="127">
        <f>CashFlow!J4</f>
        <v>730.47437708603979</v>
      </c>
      <c r="K8" s="215"/>
      <c r="L8" s="215"/>
      <c r="M8" s="215"/>
      <c r="N8" s="215"/>
      <c r="O8" s="215"/>
    </row>
    <row r="9" spans="1:15" x14ac:dyDescent="0.25">
      <c r="B9" s="4" t="s">
        <v>54</v>
      </c>
      <c r="C9" s="5"/>
      <c r="D9" s="5"/>
      <c r="E9" s="25"/>
      <c r="F9" s="128">
        <f>CashFlow!F5</f>
        <v>0</v>
      </c>
      <c r="G9" s="128">
        <f>CashFlow!G5</f>
        <v>0</v>
      </c>
      <c r="H9" s="128">
        <f>CashFlow!H5</f>
        <v>0</v>
      </c>
      <c r="I9" s="128">
        <f>CashFlow!I5</f>
        <v>0</v>
      </c>
      <c r="J9" s="128">
        <f>CashFlow!J5</f>
        <v>0</v>
      </c>
      <c r="K9" s="215"/>
      <c r="L9" s="215"/>
      <c r="M9" s="215"/>
      <c r="N9" s="215"/>
      <c r="O9" s="215"/>
    </row>
    <row r="10" spans="1:15" x14ac:dyDescent="0.25">
      <c r="B10" s="4" t="s">
        <v>91</v>
      </c>
      <c r="C10" s="5"/>
      <c r="D10" s="5"/>
      <c r="E10" s="25"/>
      <c r="F10" s="128">
        <f>CashFlow!F6</f>
        <v>288.07547360881472</v>
      </c>
      <c r="G10" s="128">
        <f>CashFlow!G6</f>
        <v>-206.66048539460098</v>
      </c>
      <c r="H10" s="128">
        <f>CashFlow!H6</f>
        <v>-235.30272763838184</v>
      </c>
      <c r="I10" s="128">
        <f>CashFlow!I6</f>
        <v>-268.93484608069411</v>
      </c>
      <c r="J10" s="128">
        <f>CashFlow!J6</f>
        <v>-309.43326514352884</v>
      </c>
      <c r="K10" s="215"/>
      <c r="L10" s="215"/>
      <c r="M10" s="215"/>
      <c r="N10" s="215"/>
      <c r="O10" s="215"/>
    </row>
    <row r="11" spans="1:15" x14ac:dyDescent="0.25">
      <c r="B11" s="4" t="s">
        <v>162</v>
      </c>
      <c r="C11" s="5"/>
      <c r="D11" s="5"/>
      <c r="E11" s="25"/>
      <c r="F11" s="128">
        <f>CashFlow!F7</f>
        <v>-456.26401412467567</v>
      </c>
      <c r="G11" s="128">
        <f>CashFlow!G7</f>
        <v>-513.81642894568176</v>
      </c>
      <c r="H11" s="128">
        <f>CashFlow!H7</f>
        <v>-585.02914577733463</v>
      </c>
      <c r="I11" s="128">
        <f>CashFlow!I7</f>
        <v>-668.64810642629345</v>
      </c>
      <c r="J11" s="128">
        <f>CashFlow!J7</f>
        <v>-769.33863282798666</v>
      </c>
      <c r="K11" s="215"/>
      <c r="L11" s="215"/>
      <c r="M11" s="215"/>
      <c r="N11" s="215"/>
      <c r="O11" s="215"/>
    </row>
    <row r="12" spans="1:15" x14ac:dyDescent="0.25">
      <c r="B12" s="4" t="s">
        <v>163</v>
      </c>
      <c r="E12" s="29"/>
      <c r="F12" s="128">
        <f>CashFlow!F8</f>
        <v>279.8303630354003</v>
      </c>
      <c r="G12" s="128">
        <f>CashFlow!G8</f>
        <v>315.12771858911947</v>
      </c>
      <c r="H12" s="128">
        <f>CashFlow!H8</f>
        <v>358.8030464406238</v>
      </c>
      <c r="I12" s="128">
        <f>CashFlow!I8</f>
        <v>410.08722268654492</v>
      </c>
      <c r="J12" s="128">
        <f>CashFlow!J8</f>
        <v>471.84152652149805</v>
      </c>
      <c r="K12" s="215"/>
      <c r="L12" s="215"/>
      <c r="M12" s="215"/>
      <c r="N12" s="215"/>
      <c r="O12" s="215"/>
    </row>
    <row r="13" spans="1:15" x14ac:dyDescent="0.25">
      <c r="B13" s="4" t="s">
        <v>92</v>
      </c>
      <c r="E13" s="29"/>
      <c r="F13" s="125">
        <f>CashFlow!F12</f>
        <v>-637.87036761941442</v>
      </c>
      <c r="G13" s="125">
        <f>CashFlow!G12</f>
        <v>-677.13922777838093</v>
      </c>
      <c r="H13" s="125">
        <f>CashFlow!H12</f>
        <v>-721.85058074463359</v>
      </c>
      <c r="I13" s="125">
        <f>CashFlow!I12</f>
        <v>-772.95258431561649</v>
      </c>
      <c r="J13" s="125">
        <f>CashFlow!J12</f>
        <v>-831.74994750893404</v>
      </c>
      <c r="K13" s="316"/>
      <c r="L13" s="316"/>
      <c r="M13" s="316"/>
      <c r="N13" s="125"/>
      <c r="O13" s="125"/>
    </row>
    <row r="14" spans="1:15" x14ac:dyDescent="0.25">
      <c r="E14" s="60"/>
      <c r="F14" s="129"/>
      <c r="G14" s="129"/>
      <c r="H14" s="129"/>
      <c r="I14" s="129"/>
      <c r="J14" s="129"/>
      <c r="K14" s="320"/>
      <c r="L14" s="320"/>
      <c r="M14" s="320"/>
      <c r="N14" s="129"/>
      <c r="O14" s="129"/>
    </row>
    <row r="15" spans="1:15" s="11" customFormat="1" x14ac:dyDescent="0.25">
      <c r="A15" s="26" t="s">
        <v>125</v>
      </c>
      <c r="B15" s="36" t="s">
        <v>93</v>
      </c>
      <c r="C15" s="36"/>
      <c r="D15" s="36"/>
      <c r="E15" s="36"/>
      <c r="F15" s="36">
        <f>SUM(F7:F13)</f>
        <v>2492.8047167736199</v>
      </c>
      <c r="G15" s="36">
        <f t="shared" ref="G15:M15" si="2">SUM(G7:G13)</f>
        <v>2475.2332414883449</v>
      </c>
      <c r="H15" s="36">
        <f t="shared" si="2"/>
        <v>2996.0852220427232</v>
      </c>
      <c r="I15" s="36">
        <f t="shared" si="2"/>
        <v>3598.4567655739543</v>
      </c>
      <c r="J15" s="20">
        <f t="shared" si="2"/>
        <v>4296.7074318232926</v>
      </c>
      <c r="K15" s="300"/>
      <c r="L15" s="300"/>
      <c r="M15" s="300"/>
    </row>
    <row r="16" spans="1:15" x14ac:dyDescent="0.25">
      <c r="B16" s="63"/>
      <c r="C16" s="63"/>
      <c r="D16" s="63"/>
      <c r="E16" s="63"/>
      <c r="F16" s="63"/>
      <c r="G16" s="63"/>
      <c r="H16" s="63"/>
      <c r="I16" s="80"/>
      <c r="J16" s="80"/>
    </row>
    <row r="17" spans="3:8" x14ac:dyDescent="0.25">
      <c r="C17" s="5"/>
      <c r="D17" s="5"/>
      <c r="E17" s="5"/>
      <c r="F17" s="5"/>
      <c r="G17" s="5"/>
      <c r="H17" s="5"/>
    </row>
    <row r="20" spans="3:8" x14ac:dyDescent="0.25">
      <c r="C20" s="5"/>
      <c r="D20" s="5"/>
      <c r="E20" s="5"/>
      <c r="F20" s="5"/>
      <c r="G20" s="5"/>
      <c r="H20" s="5"/>
    </row>
    <row r="28" spans="3:8" x14ac:dyDescent="0.25">
      <c r="C28" s="5"/>
      <c r="D28" s="5"/>
      <c r="E28" s="5"/>
      <c r="F28" s="5"/>
      <c r="G28" s="5"/>
      <c r="H28" s="5"/>
    </row>
    <row r="29" spans="3:8" x14ac:dyDescent="0.25">
      <c r="C29" s="5"/>
      <c r="D29" s="5"/>
      <c r="E29" s="5"/>
      <c r="F29" s="5"/>
      <c r="G29" s="5"/>
      <c r="H29" s="5"/>
    </row>
    <row r="30" spans="3:8" x14ac:dyDescent="0.25">
      <c r="C30" s="5"/>
      <c r="D30" s="5"/>
      <c r="E30" s="5"/>
      <c r="F30" s="5"/>
      <c r="G30" s="5"/>
      <c r="H30" s="5"/>
    </row>
  </sheetData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&amp;L&amp;8&amp;F &amp;A</oddHeader>
    <oddFooter>&amp;R&amp;8&amp;P of &amp;N&amp;L&amp;8© AMT Training 2008 - 2017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8a26cf8-717e-46a4-ac0d-03f11284dc6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D67CCE9C46594A83EA9A0A36DAF059" ma:contentTypeVersion="5" ma:contentTypeDescription="Create a new document." ma:contentTypeScope="" ma:versionID="5fd8b8fd27f650b6dd5d0d1126d790d5">
  <xsd:schema xmlns:xsd="http://www.w3.org/2001/XMLSchema" xmlns:xs="http://www.w3.org/2001/XMLSchema" xmlns:p="http://schemas.microsoft.com/office/2006/metadata/properties" xmlns:ns3="88a26cf8-717e-46a4-ac0d-03f11284dc6b" targetNamespace="http://schemas.microsoft.com/office/2006/metadata/properties" ma:root="true" ma:fieldsID="dfdbcf1abf95335456703ce8a00489ec" ns3:_="">
    <xsd:import namespace="88a26cf8-717e-46a4-ac0d-03f11284dc6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a26cf8-717e-46a4-ac0d-03f11284dc6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2CEB71-5BFB-4E6E-B188-5D9054FB6C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9B163E-8FD9-4F0C-B1E1-F38F6A6548CE}">
  <ds:schemaRefs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88a26cf8-717e-46a4-ac0d-03f11284dc6b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0E718D7-04AA-4DF9-97B6-37DAC0AD128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88a26cf8-717e-46a4-ac0d-03f11284dc6b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MAIN</vt:lpstr>
      <vt:lpstr>Revenue</vt:lpstr>
      <vt:lpstr>Assumptions</vt:lpstr>
      <vt:lpstr>Calcs</vt:lpstr>
      <vt:lpstr>Debt</vt:lpstr>
      <vt:lpstr>IncState</vt:lpstr>
      <vt:lpstr>BalSheet</vt:lpstr>
      <vt:lpstr>CashFlow</vt:lpstr>
      <vt:lpstr>Free Cash Flow</vt:lpstr>
      <vt:lpstr>WACC</vt:lpstr>
      <vt:lpstr>DCF Model</vt:lpstr>
      <vt:lpstr>COMPS</vt:lpstr>
      <vt:lpstr>Ccy</vt:lpstr>
      <vt:lpstr>circ</vt:lpstr>
      <vt:lpstr>CoName</vt:lpstr>
      <vt:lpstr>ScenarioREV</vt:lpstr>
      <vt:lpstr>Units</vt:lpstr>
    </vt:vector>
  </TitlesOfParts>
  <Company>AMT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Chen</dc:creator>
  <dc:description>AMTX-V1/2765</dc:description>
  <cp:lastModifiedBy>Alan Chen</cp:lastModifiedBy>
  <cp:lastPrinted>2017-12-06T12:46:42Z</cp:lastPrinted>
  <dcterms:created xsi:type="dcterms:W3CDTF">2008-02-13T09:24:48Z</dcterms:created>
  <dcterms:modified xsi:type="dcterms:W3CDTF">2025-10-25T23:12:20Z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0x01010001D67CCE9C46594A83EA9A0A36DAF059</vt:lpwstr>
  </property>
  <property fmtid="{D5CDD505-2E9C-101B-9397-08002B2CF9AE}" pid="3" name="MSIP_Label_a73fd474-4f3c-44ed-88fb-5cc4bd2471bf_Enabled">
    <vt:lpwstr>true</vt:lpwstr>
  </property>
  <property fmtid="{D5CDD505-2E9C-101B-9397-08002B2CF9AE}" pid="4" name="MSIP_Label_a73fd474-4f3c-44ed-88fb-5cc4bd2471bf_SetDate">
    <vt:lpwstr>2025-09-20T21:06:41Z</vt:lpwstr>
  </property>
  <property fmtid="{D5CDD505-2E9C-101B-9397-08002B2CF9AE}" pid="5" name="MSIP_Label_a73fd474-4f3c-44ed-88fb-5cc4bd2471bf_Method">
    <vt:lpwstr>Standard</vt:lpwstr>
  </property>
  <property fmtid="{D5CDD505-2E9C-101B-9397-08002B2CF9AE}" pid="6" name="MSIP_Label_a73fd474-4f3c-44ed-88fb-5cc4bd2471bf_Name">
    <vt:lpwstr>defa4170-0d19-0005-0004-bc88714345d2</vt:lpwstr>
  </property>
  <property fmtid="{D5CDD505-2E9C-101B-9397-08002B2CF9AE}" pid="7" name="MSIP_Label_a73fd474-4f3c-44ed-88fb-5cc4bd2471bf_SiteId">
    <vt:lpwstr>8d1a69ec-03b5-4345-ae21-dad112f5fb4f</vt:lpwstr>
  </property>
  <property fmtid="{D5CDD505-2E9C-101B-9397-08002B2CF9AE}" pid="8" name="MSIP_Label_a73fd474-4f3c-44ed-88fb-5cc4bd2471bf_ActionId">
    <vt:lpwstr>ea478097-4d4f-4597-be52-84b7b54bb9e8</vt:lpwstr>
  </property>
  <property fmtid="{D5CDD505-2E9C-101B-9397-08002B2CF9AE}" pid="9" name="MSIP_Label_a73fd474-4f3c-44ed-88fb-5cc4bd2471bf_ContentBits">
    <vt:lpwstr>0</vt:lpwstr>
  </property>
  <property fmtid="{D5CDD505-2E9C-101B-9397-08002B2CF9AE}" pid="10" name="MSIP_Label_a73fd474-4f3c-44ed-88fb-5cc4bd2471bf_Tag">
    <vt:lpwstr>10, 3, 0, 1</vt:lpwstr>
  </property>
</Properties>
</file>