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e034dd60452fc8/MODELS/"/>
    </mc:Choice>
  </mc:AlternateContent>
  <xr:revisionPtr revIDLastSave="252" documentId="8_{A6E4E636-BAC8-2B4B-86E9-F7E4CEE7B65F}" xr6:coauthVersionLast="47" xr6:coauthVersionMax="47" xr10:uidLastSave="{C57B4974-58A4-FD43-A683-8A6369287A71}"/>
  <bookViews>
    <workbookView xWindow="0" yWindow="860" windowWidth="36000" windowHeight="22520" activeTab="1" xr2:uid="{0C40EF93-2927-E740-B335-4D7FAF5B1550}"/>
  </bookViews>
  <sheets>
    <sheet name="Main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AB23" i="2"/>
  <c r="T22" i="2"/>
  <c r="D14" i="1"/>
  <c r="U22" i="2"/>
  <c r="V22" i="2"/>
  <c r="W22" i="2" s="1"/>
  <c r="X22" i="2" s="1"/>
  <c r="Y22" i="2" s="1"/>
  <c r="Z22" i="2" s="1"/>
  <c r="AA22" i="2" s="1"/>
  <c r="U25" i="2"/>
  <c r="V25" i="2" s="1"/>
  <c r="T17" i="2"/>
  <c r="T18" i="2" s="1"/>
  <c r="U17" i="2"/>
  <c r="V17" i="2" s="1"/>
  <c r="T16" i="2"/>
  <c r="U16" i="2" s="1"/>
  <c r="U15" i="2"/>
  <c r="V15" i="2"/>
  <c r="W15" i="2" s="1"/>
  <c r="X15" i="2" s="1"/>
  <c r="Y15" i="2" s="1"/>
  <c r="Z15" i="2" s="1"/>
  <c r="AA15" i="2" s="1"/>
  <c r="T15" i="2"/>
  <c r="T12" i="2"/>
  <c r="U12" i="2" s="1"/>
  <c r="G29" i="2"/>
  <c r="H29" i="2"/>
  <c r="I29" i="2"/>
  <c r="J29" i="2"/>
  <c r="K29" i="2"/>
  <c r="L29" i="2"/>
  <c r="M29" i="2"/>
  <c r="N29" i="2"/>
  <c r="Q38" i="2"/>
  <c r="R38" i="2"/>
  <c r="S38" i="2"/>
  <c r="P38" i="2"/>
  <c r="P30" i="2"/>
  <c r="R30" i="2"/>
  <c r="Q27" i="2"/>
  <c r="R27" i="2"/>
  <c r="S27" i="2"/>
  <c r="P14" i="2"/>
  <c r="Q14" i="2"/>
  <c r="Q30" i="2" s="1"/>
  <c r="P18" i="2"/>
  <c r="Q18" i="2"/>
  <c r="S18" i="2"/>
  <c r="S14" i="2"/>
  <c r="S30" i="2" s="1"/>
  <c r="R18" i="2"/>
  <c r="R14" i="2"/>
  <c r="E30" i="2"/>
  <c r="L8" i="2"/>
  <c r="L12" i="2" s="1"/>
  <c r="L14" i="2" s="1"/>
  <c r="L30" i="2" s="1"/>
  <c r="M8" i="2"/>
  <c r="M28" i="2" s="1"/>
  <c r="N8" i="2"/>
  <c r="N28" i="2" s="1"/>
  <c r="J8" i="2"/>
  <c r="J12" i="2" s="1"/>
  <c r="J14" i="2" s="1"/>
  <c r="K8" i="2"/>
  <c r="K28" i="2" s="1"/>
  <c r="E8" i="2"/>
  <c r="E12" i="2" s="1"/>
  <c r="E14" i="2" s="1"/>
  <c r="F8" i="2"/>
  <c r="F12" i="2" s="1"/>
  <c r="G8" i="2"/>
  <c r="G28" i="2" s="1"/>
  <c r="H8" i="2"/>
  <c r="H12" i="2" s="1"/>
  <c r="H14" i="2" s="1"/>
  <c r="H30" i="2" s="1"/>
  <c r="C8" i="2"/>
  <c r="C12" i="2" s="1"/>
  <c r="C14" i="2" s="1"/>
  <c r="C30" i="2" s="1"/>
  <c r="D8" i="2"/>
  <c r="D12" i="2" s="1"/>
  <c r="D14" i="2" s="1"/>
  <c r="D30" i="2" s="1"/>
  <c r="I8" i="2"/>
  <c r="I12" i="2" s="1"/>
  <c r="I14" i="2" s="1"/>
  <c r="C38" i="2"/>
  <c r="D38" i="2"/>
  <c r="E38" i="2"/>
  <c r="L38" i="2"/>
  <c r="M38" i="2"/>
  <c r="N38" i="2"/>
  <c r="H38" i="2"/>
  <c r="I38" i="2"/>
  <c r="J38" i="2"/>
  <c r="F38" i="2"/>
  <c r="C23" i="2"/>
  <c r="C24" i="2" s="1"/>
  <c r="D23" i="2"/>
  <c r="D24" i="2" s="1"/>
  <c r="E23" i="2"/>
  <c r="E24" i="2" s="1"/>
  <c r="F23" i="2"/>
  <c r="F24" i="2" s="1"/>
  <c r="G14" i="2"/>
  <c r="L18" i="2"/>
  <c r="M18" i="2"/>
  <c r="N18" i="2"/>
  <c r="H18" i="2"/>
  <c r="I18" i="2"/>
  <c r="J18" i="2"/>
  <c r="G18" i="2"/>
  <c r="C18" i="2"/>
  <c r="D18" i="2"/>
  <c r="E18" i="2"/>
  <c r="F18" i="2"/>
  <c r="K38" i="2"/>
  <c r="G38" i="2"/>
  <c r="K18" i="2"/>
  <c r="D11" i="1"/>
  <c r="D9" i="1"/>
  <c r="D6" i="1"/>
  <c r="U14" i="2" l="1"/>
  <c r="V12" i="2"/>
  <c r="U18" i="2"/>
  <c r="V16" i="2"/>
  <c r="W16" i="2" s="1"/>
  <c r="X16" i="2" s="1"/>
  <c r="Y16" i="2" s="1"/>
  <c r="Z16" i="2" s="1"/>
  <c r="AA16" i="2" s="1"/>
  <c r="V18" i="2"/>
  <c r="W17" i="2"/>
  <c r="J28" i="2"/>
  <c r="I28" i="2"/>
  <c r="T19" i="2"/>
  <c r="T21" i="2" s="1"/>
  <c r="T23" i="2" s="1"/>
  <c r="H28" i="2"/>
  <c r="H27" i="2"/>
  <c r="G27" i="2"/>
  <c r="L27" i="2"/>
  <c r="L28" i="2"/>
  <c r="R19" i="2"/>
  <c r="R21" i="2" s="1"/>
  <c r="R23" i="2" s="1"/>
  <c r="Q19" i="2"/>
  <c r="Q21" i="2" s="1"/>
  <c r="Q23" i="2" s="1"/>
  <c r="P19" i="2"/>
  <c r="P21" i="2" s="1"/>
  <c r="P23" i="2" s="1"/>
  <c r="S19" i="2"/>
  <c r="S21" i="2" s="1"/>
  <c r="S23" i="2" s="1"/>
  <c r="L19" i="2"/>
  <c r="L21" i="2" s="1"/>
  <c r="L23" i="2" s="1"/>
  <c r="N12" i="2"/>
  <c r="M12" i="2"/>
  <c r="I27" i="2"/>
  <c r="E19" i="2"/>
  <c r="C19" i="2"/>
  <c r="D19" i="2"/>
  <c r="F14" i="2"/>
  <c r="J27" i="2"/>
  <c r="I30" i="2"/>
  <c r="I19" i="2"/>
  <c r="I21" i="2" s="1"/>
  <c r="I23" i="2" s="1"/>
  <c r="H19" i="2"/>
  <c r="H21" i="2" s="1"/>
  <c r="H23" i="2" s="1"/>
  <c r="G19" i="2"/>
  <c r="G21" i="2" s="1"/>
  <c r="G23" i="2" s="1"/>
  <c r="J19" i="2"/>
  <c r="J23" i="2" s="1"/>
  <c r="J30" i="2"/>
  <c r="G30" i="2"/>
  <c r="T24" i="2" l="1"/>
  <c r="L24" i="2"/>
  <c r="I24" i="2"/>
  <c r="I31" i="2"/>
  <c r="P24" i="2"/>
  <c r="S31" i="2"/>
  <c r="S24" i="2"/>
  <c r="X17" i="2"/>
  <c r="W18" i="2"/>
  <c r="R24" i="2"/>
  <c r="R31" i="2"/>
  <c r="V14" i="2"/>
  <c r="V19" i="2" s="1"/>
  <c r="V21" i="2" s="1"/>
  <c r="V23" i="2" s="1"/>
  <c r="V24" i="2" s="1"/>
  <c r="W12" i="2"/>
  <c r="J24" i="2"/>
  <c r="J31" i="2"/>
  <c r="G24" i="2"/>
  <c r="G31" i="2"/>
  <c r="H24" i="2"/>
  <c r="H31" i="2"/>
  <c r="Q24" i="2"/>
  <c r="Q31" i="2"/>
  <c r="U19" i="2"/>
  <c r="U21" i="2" s="1"/>
  <c r="U23" i="2" s="1"/>
  <c r="U24" i="2" s="1"/>
  <c r="M14" i="2"/>
  <c r="M27" i="2"/>
  <c r="N14" i="2"/>
  <c r="N27" i="2"/>
  <c r="F30" i="2"/>
  <c r="F19" i="2"/>
  <c r="K12" i="2"/>
  <c r="K14" i="2" s="1"/>
  <c r="Y17" i="2" l="1"/>
  <c r="X18" i="2"/>
  <c r="W14" i="2"/>
  <c r="W19" i="2" s="1"/>
  <c r="W21" i="2" s="1"/>
  <c r="W23" i="2" s="1"/>
  <c r="X12" i="2"/>
  <c r="M19" i="2"/>
  <c r="M21" i="2" s="1"/>
  <c r="M23" i="2" s="1"/>
  <c r="M30" i="2"/>
  <c r="N30" i="2"/>
  <c r="N19" i="2"/>
  <c r="N21" i="2" s="1"/>
  <c r="N24" i="2" s="1"/>
  <c r="K19" i="2"/>
  <c r="K21" i="2" s="1"/>
  <c r="K23" i="2" s="1"/>
  <c r="K30" i="2"/>
  <c r="K27" i="2"/>
  <c r="M24" i="2" l="1"/>
  <c r="M31" i="2"/>
  <c r="N31" i="2"/>
  <c r="X14" i="2"/>
  <c r="X19" i="2" s="1"/>
  <c r="X21" i="2" s="1"/>
  <c r="X23" i="2" s="1"/>
  <c r="X24" i="2" s="1"/>
  <c r="Y12" i="2"/>
  <c r="W24" i="2"/>
  <c r="K24" i="2"/>
  <c r="K31" i="2"/>
  <c r="L31" i="2"/>
  <c r="Z17" i="2"/>
  <c r="Y18" i="2"/>
  <c r="AA17" i="2" l="1"/>
  <c r="AA18" i="2" s="1"/>
  <c r="Z18" i="2"/>
  <c r="Y14" i="2"/>
  <c r="Y19" i="2" s="1"/>
  <c r="Y21" i="2" s="1"/>
  <c r="Y23" i="2" s="1"/>
  <c r="Z12" i="2"/>
  <c r="AA12" i="2" l="1"/>
  <c r="AA14" i="2" s="1"/>
  <c r="AA19" i="2" s="1"/>
  <c r="AA21" i="2" s="1"/>
  <c r="AA23" i="2" s="1"/>
  <c r="Z14" i="2"/>
  <c r="Z19" i="2" s="1"/>
  <c r="Z21" i="2" s="1"/>
  <c r="Z23" i="2" s="1"/>
  <c r="Z24" i="2" s="1"/>
  <c r="Y24" i="2"/>
  <c r="AA24" i="2" l="1"/>
  <c r="AC23" i="2" l="1"/>
  <c r="AD23" i="2" l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X36" i="2" l="1"/>
  <c r="X37" i="2" s="1"/>
  <c r="X38" i="2" s="1"/>
</calcChain>
</file>

<file path=xl/sharedStrings.xml><?xml version="1.0" encoding="utf-8"?>
<sst xmlns="http://schemas.openxmlformats.org/spreadsheetml/2006/main" count="60" uniqueCount="56">
  <si>
    <t>Price</t>
  </si>
  <si>
    <t>MC</t>
  </si>
  <si>
    <t>Shares</t>
  </si>
  <si>
    <t>Cash</t>
  </si>
  <si>
    <t>Debt</t>
  </si>
  <si>
    <t>EV</t>
  </si>
  <si>
    <t>Q424</t>
  </si>
  <si>
    <t>Net cash</t>
  </si>
  <si>
    <t>DCF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</si>
  <si>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</si>
  <si>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</si>
  <si>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</si>
  <si>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</si>
  <si>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</si>
  <si>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</si>
  <si>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</si>
  <si>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</si>
  <si>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</si>
  <si>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</si>
  <si>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</si>
  <si>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</si>
  <si>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</si>
  <si>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</si>
  <si>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R&amp;D</t>
  </si>
  <si>
    <t>S&amp;M</t>
  </si>
  <si>
    <t>G&amp;A</t>
  </si>
  <si>
    <t>Founded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</si>
  <si>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</si>
  <si>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</si>
  <si>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</si>
  <si>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</si>
  <si>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</si>
  <si>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</si>
  <si>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</si>
  <si>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</si>
  <si>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</si>
  <si>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</si>
  <si>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Cloud</t>
  </si>
  <si>
    <t>Other bets</t>
  </si>
  <si>
    <t>FX</t>
  </si>
  <si>
    <t>Services Growth</t>
  </si>
  <si>
    <t>Cloud Growth</t>
  </si>
  <si>
    <t>Search</t>
  </si>
  <si>
    <t>YouTube</t>
  </si>
  <si>
    <t>Network</t>
  </si>
  <si>
    <t>Services (total)</t>
  </si>
  <si>
    <t>Operating Expenses</t>
  </si>
  <si>
    <t>Operating Income</t>
  </si>
  <si>
    <t>Subscriptions</t>
  </si>
  <si>
    <t>Net Income Growth</t>
  </si>
  <si>
    <t>Maturity</t>
  </si>
  <si>
    <t>Discount</t>
  </si>
  <si>
    <t>NPV</t>
  </si>
  <si>
    <t>EV/Net Inc</t>
  </si>
  <si>
    <t>Difference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</si>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</sst>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43" fontId="0" fillId="0" borderId="0" xfId="0" applyNumberFormat="1"/>
    <xf numFmtId="4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50800</xdr:rowOff>
    </xdr:from>
    <xdr:to>
      <xdr:col>11</xdr:col>
      <xdr:colOff>172720</xdr:colOff>
      <xdr:row>55</xdr:row>
      <xdr:rowOff>162560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371C19-A540-592D-8229-D1B9BC3BEC60}"/>
            </a:ext>
          </a:extLst>
        </xdr:cNvPr>
        <xdr:cNvCxnSpPr/>
      </xdr:nvCxnSpPr>
      <xdr:spPr>
        <a:xfrm>
          <a:off x="9011920" y="50800"/>
          <a:ext cx="20320" cy="92557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DC41-304D-8143-A15E-5CCBD27EA577}">
  <dimension ref="C4:E16"/>
  <sheetViews>
    <sheetView zoomScale="150" workbookViewId="0">
      <selection activeCell="C10" sqref="C10"/>
    </sheetView>
  </sheetViews>
  <sheetFormatPr baseColWidth="10" defaultColWidth="11" defaultRowHeight="16" x14ac:dyDescent="0.2"/>
  <cols>
    <col min="4" max="4" width="13" bestFit="1" customWidth="1"/>
  </cols>
  <sheetData>
    <row r="4" spans="3:5" x14ac:dyDescent="0.2">
      <c r="C4" s="2" t="s">
        <v>0</v>
      </c>
      <c r="D4" s="2">
        <v>147.74</v>
      </c>
      <c r="E4" s="2"/>
    </row>
    <row r="5" spans="3:5" x14ac:dyDescent="0.2">
      <c r="C5" s="3" t="s">
        <v>2</v>
      </c>
      <c r="D5" s="1">
        <v>12447</v>
      </c>
      <c r="E5" s="3" t="s">
        <v>6</v>
      </c>
    </row>
    <row r="6" spans="3:5" x14ac:dyDescent="0.2">
      <c r="C6" s="3" t="s">
        <v>1</v>
      </c>
      <c r="D6" s="3">
        <f>D4*D5</f>
        <v>1838919.78</v>
      </c>
      <c r="E6" s="3"/>
    </row>
    <row r="7" spans="3:5" x14ac:dyDescent="0.2">
      <c r="C7" s="3" t="s">
        <v>3</v>
      </c>
      <c r="D7" s="1">
        <v>95657</v>
      </c>
      <c r="E7" s="3"/>
    </row>
    <row r="8" spans="3:5" x14ac:dyDescent="0.2">
      <c r="C8" s="3" t="s">
        <v>4</v>
      </c>
      <c r="D8" s="1">
        <v>10883</v>
      </c>
      <c r="E8" s="3"/>
    </row>
    <row r="9" spans="3:5" x14ac:dyDescent="0.2">
      <c r="C9" s="3" t="s">
        <v>5</v>
      </c>
      <c r="D9" s="3">
        <f>D6-D7+D8</f>
        <v>1754145.78</v>
      </c>
      <c r="E9" s="3" t="s">
        <v>6</v>
      </c>
    </row>
    <row r="10" spans="3:5" x14ac:dyDescent="0.2">
      <c r="D10" s="2"/>
    </row>
    <row r="11" spans="3:5" x14ac:dyDescent="0.2">
      <c r="C11" s="3" t="s">
        <v>7</v>
      </c>
      <c r="D11" s="1">
        <f>D7-D8</f>
        <v>84774</v>
      </c>
    </row>
    <row r="12" spans="3:5" x14ac:dyDescent="0.2">
      <c r="C12" s="3" t="s">
        <v>26</v>
      </c>
      <c r="D12">
        <v>1998</v>
      </c>
    </row>
    <row r="13" spans="3:5" x14ac:dyDescent="0.2">
      <c r="C13" s="3" t="s">
        <v>30</v>
      </c>
      <c r="D13" s="14">
        <v>100188</v>
      </c>
    </row>
    <row r="14" spans="3:5" x14ac:dyDescent="0.2">
      <c r="C14" s="3" t="s">
        <v>53</v>
      </c>
      <c r="D14" s="3">
        <f>D9/D13</f>
        <v>17.508541741525931</v>
      </c>
    </row>
    <row r="15" spans="3:5" x14ac:dyDescent="0.2">
      <c r="C15" s="3"/>
    </row>
    <row r="16" spans="3:5" x14ac:dyDescent="0.2">
      <c r="D1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CBC2-530C-894C-8B23-F88E6451A673}">
  <dimension ref="A1:AZ41"/>
  <sheetViews>
    <sheetView tabSelected="1" zoomScale="125" zoomScaleNormal="100" workbookViewId="0">
      <pane xSplit="2" ySplit="3" topLeftCell="M18" activePane="bottomRight" state="frozen"/>
      <selection pane="topRight" activeCell="C1" sqref="C1"/>
      <selection pane="bottomLeft" activeCell="A4" sqref="A4"/>
      <selection pane="bottomRight" activeCell="Q39" sqref="Q39"/>
    </sheetView>
  </sheetViews>
  <sheetFormatPr baseColWidth="10" defaultColWidth="11" defaultRowHeight="16" x14ac:dyDescent="0.2"/>
  <cols>
    <col min="1" max="1" width="5.33203125" customWidth="1"/>
    <col min="2" max="2" width="17" customWidth="1"/>
    <col min="3" max="14" width="10.83203125" style="4"/>
  </cols>
  <sheetData>
    <row r="1" spans="1:27" x14ac:dyDescent="0.2">
      <c r="A1" t="s">
        <v>8</v>
      </c>
    </row>
    <row r="3" spans="1:27" x14ac:dyDescent="0.2"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6</v>
      </c>
      <c r="P3">
        <v>2021</v>
      </c>
      <c r="Q3">
        <v>2022</v>
      </c>
      <c r="R3">
        <v>2023</v>
      </c>
      <c r="S3">
        <v>2024</v>
      </c>
      <c r="T3">
        <v>2025</v>
      </c>
      <c r="U3">
        <v>2026</v>
      </c>
      <c r="V3">
        <v>2027</v>
      </c>
      <c r="W3">
        <v>2028</v>
      </c>
      <c r="X3">
        <v>2029</v>
      </c>
      <c r="Y3">
        <v>2030</v>
      </c>
      <c r="Z3">
        <v>2031</v>
      </c>
      <c r="AA3">
        <v>2032</v>
      </c>
    </row>
    <row r="4" spans="1:27" s="1" customFormat="1" x14ac:dyDescent="0.2">
      <c r="B4" s="1" t="s">
        <v>44</v>
      </c>
      <c r="C4" s="5">
        <v>8174</v>
      </c>
      <c r="D4" s="5">
        <v>8259</v>
      </c>
      <c r="E4" s="5">
        <v>7872</v>
      </c>
      <c r="F4" s="5">
        <v>8475</v>
      </c>
      <c r="G4" s="5">
        <v>7496</v>
      </c>
      <c r="H4" s="5">
        <v>7850</v>
      </c>
      <c r="I4" s="5">
        <v>7669</v>
      </c>
      <c r="J4" s="5">
        <v>8297</v>
      </c>
      <c r="K4" s="5">
        <v>7413</v>
      </c>
      <c r="L4" s="5">
        <v>7444</v>
      </c>
      <c r="M4" s="5">
        <v>7548</v>
      </c>
      <c r="N4" s="5">
        <v>7095</v>
      </c>
    </row>
    <row r="5" spans="1:27" s="1" customFormat="1" x14ac:dyDescent="0.2">
      <c r="B5" s="1" t="s">
        <v>43</v>
      </c>
      <c r="C5" s="5">
        <v>6869</v>
      </c>
      <c r="D5" s="5">
        <v>7340</v>
      </c>
      <c r="E5" s="5">
        <v>7071</v>
      </c>
      <c r="F5" s="5">
        <v>7963</v>
      </c>
      <c r="G5" s="5">
        <v>6693</v>
      </c>
      <c r="H5" s="5">
        <v>7665</v>
      </c>
      <c r="I5" s="5">
        <v>7952</v>
      </c>
      <c r="J5" s="5">
        <v>9200</v>
      </c>
      <c r="K5" s="5">
        <v>8090</v>
      </c>
      <c r="L5" s="5">
        <v>8663</v>
      </c>
      <c r="M5" s="5">
        <v>8921</v>
      </c>
      <c r="N5" s="5">
        <v>10473</v>
      </c>
    </row>
    <row r="6" spans="1:27" s="1" customFormat="1" x14ac:dyDescent="0.2">
      <c r="B6" s="1" t="s">
        <v>42</v>
      </c>
      <c r="C6" s="5">
        <v>39618</v>
      </c>
      <c r="D6" s="5">
        <v>40689</v>
      </c>
      <c r="E6" s="5">
        <v>39539</v>
      </c>
      <c r="F6" s="5">
        <v>42604</v>
      </c>
      <c r="G6" s="5">
        <v>40359</v>
      </c>
      <c r="H6" s="5">
        <v>42628</v>
      </c>
      <c r="I6" s="5">
        <v>44026</v>
      </c>
      <c r="J6" s="5">
        <v>48020</v>
      </c>
      <c r="K6" s="5">
        <v>46156</v>
      </c>
      <c r="L6" s="5">
        <v>48509</v>
      </c>
      <c r="M6" s="5">
        <v>49385</v>
      </c>
      <c r="N6" s="5">
        <v>54034</v>
      </c>
    </row>
    <row r="7" spans="1:27" s="1" customFormat="1" x14ac:dyDescent="0.2">
      <c r="B7" s="1" t="s">
        <v>48</v>
      </c>
      <c r="C7" s="5">
        <v>6811</v>
      </c>
      <c r="D7" s="5">
        <v>6553</v>
      </c>
      <c r="E7" s="5">
        <v>6895</v>
      </c>
      <c r="F7" s="5">
        <v>8796</v>
      </c>
      <c r="G7" s="5">
        <v>7413</v>
      </c>
      <c r="H7" s="5">
        <v>8142</v>
      </c>
      <c r="I7" s="5">
        <v>8339</v>
      </c>
      <c r="J7" s="5">
        <v>10794</v>
      </c>
      <c r="K7" s="5">
        <v>8439</v>
      </c>
      <c r="L7" s="5">
        <v>9312</v>
      </c>
      <c r="M7" s="5">
        <v>10656</v>
      </c>
      <c r="N7" s="5">
        <v>11633</v>
      </c>
    </row>
    <row r="8" spans="1:27" s="7" customFormat="1" x14ac:dyDescent="0.2">
      <c r="B8" s="7" t="s">
        <v>45</v>
      </c>
      <c r="C8" s="8">
        <f t="shared" ref="C8:D8" si="0">SUM(C4:C7)</f>
        <v>61472</v>
      </c>
      <c r="D8" s="8">
        <f t="shared" si="0"/>
        <v>62841</v>
      </c>
      <c r="E8" s="8">
        <f t="shared" ref="E8" si="1">SUM(E4:E7)</f>
        <v>61377</v>
      </c>
      <c r="F8" s="8">
        <f t="shared" ref="F8" si="2">SUM(F4:F7)</f>
        <v>67838</v>
      </c>
      <c r="G8" s="8">
        <f t="shared" ref="G8" si="3">SUM(G4:G7)</f>
        <v>61961</v>
      </c>
      <c r="H8" s="8">
        <f t="shared" ref="H8" si="4">SUM(H4:H7)</f>
        <v>66285</v>
      </c>
      <c r="I8" s="8">
        <f t="shared" ref="I8" si="5">SUM(I4:I7)</f>
        <v>67986</v>
      </c>
      <c r="J8" s="8">
        <f t="shared" ref="J8" si="6">SUM(J4:J7)</f>
        <v>76311</v>
      </c>
      <c r="K8" s="8">
        <f t="shared" ref="K8" si="7">SUM(K4:K7)</f>
        <v>70098</v>
      </c>
      <c r="L8" s="8">
        <f t="shared" ref="L8" si="8">SUM(L4:L7)</f>
        <v>73928</v>
      </c>
      <c r="M8" s="8">
        <f t="shared" ref="M8" si="9">SUM(M4:M7)</f>
        <v>76510</v>
      </c>
      <c r="N8" s="8">
        <f t="shared" ref="N8" si="10">SUM(N4:N7)</f>
        <v>83235</v>
      </c>
    </row>
    <row r="9" spans="1:27" s="1" customFormat="1" x14ac:dyDescent="0.2">
      <c r="B9" s="1" t="s">
        <v>39</v>
      </c>
      <c r="C9" s="5">
        <v>278</v>
      </c>
      <c r="D9" s="5">
        <v>375</v>
      </c>
      <c r="E9" s="5">
        <v>638</v>
      </c>
      <c r="F9" s="5">
        <v>669</v>
      </c>
      <c r="G9" s="5">
        <v>84</v>
      </c>
      <c r="H9" s="5">
        <v>3</v>
      </c>
      <c r="I9" s="5">
        <v>-1</v>
      </c>
      <c r="J9" s="5">
        <v>150</v>
      </c>
      <c r="K9" s="5">
        <v>72</v>
      </c>
      <c r="L9" s="5">
        <v>102</v>
      </c>
      <c r="M9" s="5">
        <v>17</v>
      </c>
      <c r="N9" s="5">
        <v>20</v>
      </c>
    </row>
    <row r="10" spans="1:27" s="1" customFormat="1" x14ac:dyDescent="0.2">
      <c r="B10" s="1" t="s">
        <v>38</v>
      </c>
      <c r="C10" s="5">
        <v>440</v>
      </c>
      <c r="D10" s="5">
        <v>193</v>
      </c>
      <c r="E10" s="5">
        <v>209</v>
      </c>
      <c r="F10" s="5">
        <v>226</v>
      </c>
      <c r="G10" s="5">
        <v>288</v>
      </c>
      <c r="H10" s="5">
        <v>285</v>
      </c>
      <c r="I10" s="5">
        <v>297</v>
      </c>
      <c r="J10" s="5">
        <v>657</v>
      </c>
      <c r="K10" s="5">
        <v>495</v>
      </c>
      <c r="L10" s="5">
        <v>365</v>
      </c>
      <c r="M10" s="5">
        <v>388</v>
      </c>
      <c r="N10" s="5">
        <v>400</v>
      </c>
    </row>
    <row r="11" spans="1:27" s="1" customFormat="1" x14ac:dyDescent="0.2">
      <c r="B11" s="1" t="s">
        <v>37</v>
      </c>
      <c r="C11" s="5">
        <v>5821</v>
      </c>
      <c r="D11" s="5">
        <v>6276</v>
      </c>
      <c r="E11" s="5">
        <v>6868</v>
      </c>
      <c r="F11" s="5">
        <v>7315</v>
      </c>
      <c r="G11" s="5">
        <v>7454</v>
      </c>
      <c r="H11" s="5">
        <v>8031</v>
      </c>
      <c r="I11" s="5">
        <v>8411</v>
      </c>
      <c r="J11" s="5">
        <v>9192</v>
      </c>
      <c r="K11" s="5">
        <v>9574</v>
      </c>
      <c r="L11" s="5">
        <v>10347</v>
      </c>
      <c r="M11" s="5">
        <v>11353</v>
      </c>
      <c r="N11" s="5">
        <v>11955</v>
      </c>
    </row>
    <row r="12" spans="1:27" s="7" customFormat="1" x14ac:dyDescent="0.2">
      <c r="B12" s="7" t="s">
        <v>9</v>
      </c>
      <c r="C12" s="8">
        <f>SUM(C8:C11)</f>
        <v>68011</v>
      </c>
      <c r="D12" s="8">
        <f t="shared" ref="D12:E12" si="11">SUM(D8:D11)</f>
        <v>69685</v>
      </c>
      <c r="E12" s="8">
        <f t="shared" si="11"/>
        <v>69092</v>
      </c>
      <c r="F12" s="8">
        <f>SUM(F8:F11)</f>
        <v>76048</v>
      </c>
      <c r="G12" s="8">
        <v>69787</v>
      </c>
      <c r="H12" s="8">
        <f t="shared" ref="H12:I12" si="12">SUM(H8:H11)</f>
        <v>74604</v>
      </c>
      <c r="I12" s="8">
        <f t="shared" si="12"/>
        <v>76693</v>
      </c>
      <c r="J12" s="8">
        <f>SUM(J8:J11)</f>
        <v>86310</v>
      </c>
      <c r="K12" s="8">
        <f>SUM(K8:K11)</f>
        <v>80239</v>
      </c>
      <c r="L12" s="8">
        <f t="shared" ref="L12:N12" si="13">SUM(L8:L11)</f>
        <v>84742</v>
      </c>
      <c r="M12" s="8">
        <f t="shared" si="13"/>
        <v>88268</v>
      </c>
      <c r="N12" s="8">
        <f t="shared" si="13"/>
        <v>95610</v>
      </c>
      <c r="P12" s="7">
        <v>257637</v>
      </c>
      <c r="Q12" s="7">
        <v>282836</v>
      </c>
      <c r="R12" s="7">
        <v>307394</v>
      </c>
      <c r="S12" s="7">
        <v>350018</v>
      </c>
      <c r="T12" s="7">
        <f>S12*1.1</f>
        <v>385019.80000000005</v>
      </c>
      <c r="U12" s="7">
        <f>T12*1.1</f>
        <v>423521.78000000009</v>
      </c>
      <c r="V12" s="7">
        <f>U12*1.1</f>
        <v>465873.95800000016</v>
      </c>
      <c r="W12" s="7">
        <f>V12*1.1</f>
        <v>512461.35380000022</v>
      </c>
      <c r="X12" s="7">
        <f>W12*1.1</f>
        <v>563707.48918000027</v>
      </c>
      <c r="Y12" s="7">
        <f>X12*1.1</f>
        <v>620078.23809800029</v>
      </c>
      <c r="Z12" s="7">
        <f>Y12*1.1</f>
        <v>682086.06190780038</v>
      </c>
      <c r="AA12" s="7">
        <f>Z12*1.1</f>
        <v>750294.66809858044</v>
      </c>
    </row>
    <row r="13" spans="1:27" s="1" customFormat="1" x14ac:dyDescent="0.2">
      <c r="B13" s="1" t="s">
        <v>21</v>
      </c>
      <c r="C13" s="5">
        <v>29599</v>
      </c>
      <c r="D13" s="5">
        <v>30104</v>
      </c>
      <c r="E13" s="5">
        <v>31158</v>
      </c>
      <c r="F13" s="5">
        <v>35242</v>
      </c>
      <c r="G13" s="5">
        <v>30612</v>
      </c>
      <c r="H13" s="5">
        <v>31916</v>
      </c>
      <c r="I13" s="5">
        <v>33229</v>
      </c>
      <c r="J13" s="5">
        <v>37575</v>
      </c>
      <c r="K13" s="5">
        <v>33712</v>
      </c>
      <c r="L13" s="5">
        <v>35507</v>
      </c>
      <c r="M13" s="5">
        <v>36474</v>
      </c>
      <c r="N13" s="5">
        <v>40613</v>
      </c>
      <c r="P13" s="1">
        <v>110939</v>
      </c>
      <c r="Q13" s="1">
        <v>126203</v>
      </c>
      <c r="R13" s="1">
        <v>133332</v>
      </c>
      <c r="S13" s="1">
        <v>146306</v>
      </c>
    </row>
    <row r="14" spans="1:27" s="1" customFormat="1" x14ac:dyDescent="0.2">
      <c r="B14" s="1" t="s">
        <v>22</v>
      </c>
      <c r="C14" s="5">
        <f t="shared" ref="C14:I14" si="14">C12-C13</f>
        <v>38412</v>
      </c>
      <c r="D14" s="5">
        <f t="shared" si="14"/>
        <v>39581</v>
      </c>
      <c r="E14" s="5">
        <f t="shared" si="14"/>
        <v>37934</v>
      </c>
      <c r="F14" s="5">
        <f t="shared" si="14"/>
        <v>40806</v>
      </c>
      <c r="G14" s="5">
        <f t="shared" si="14"/>
        <v>39175</v>
      </c>
      <c r="H14" s="5">
        <f t="shared" si="14"/>
        <v>42688</v>
      </c>
      <c r="I14" s="5">
        <f t="shared" si="14"/>
        <v>43464</v>
      </c>
      <c r="J14" s="5">
        <f>J12-J13</f>
        <v>48735</v>
      </c>
      <c r="K14" s="5">
        <f t="shared" ref="K14" si="15">K12-K13</f>
        <v>46527</v>
      </c>
      <c r="L14" s="5">
        <f t="shared" ref="L14" si="16">L12-L13</f>
        <v>49235</v>
      </c>
      <c r="M14" s="5">
        <f t="shared" ref="M14" si="17">M12-M13</f>
        <v>51794</v>
      </c>
      <c r="N14" s="5">
        <f t="shared" ref="N14" si="18">N12-N13</f>
        <v>54997</v>
      </c>
      <c r="P14" s="1">
        <f t="shared" ref="P14:Q14" si="19">P12-P13</f>
        <v>146698</v>
      </c>
      <c r="Q14" s="1">
        <f t="shared" si="19"/>
        <v>156633</v>
      </c>
      <c r="R14" s="1">
        <f>R12-R13</f>
        <v>174062</v>
      </c>
      <c r="S14" s="1">
        <f t="shared" ref="S14" si="20">S12-S13</f>
        <v>203712</v>
      </c>
      <c r="T14" s="1">
        <f>T12*0.6</f>
        <v>231011.88000000003</v>
      </c>
      <c r="U14" s="1">
        <f>U12*0.6</f>
        <v>254113.06800000003</v>
      </c>
      <c r="V14" s="1">
        <f>V12*0.6</f>
        <v>279524.37480000011</v>
      </c>
      <c r="W14" s="1">
        <f>W12*0.6</f>
        <v>307476.81228000013</v>
      </c>
      <c r="X14" s="1">
        <f>X12*0.6</f>
        <v>338224.49350800016</v>
      </c>
      <c r="Y14" s="1">
        <f>Y12*0.6</f>
        <v>372046.94285880018</v>
      </c>
      <c r="Z14" s="1">
        <f>Z12*0.6</f>
        <v>409251.63714468019</v>
      </c>
      <c r="AA14" s="1">
        <f>AA12*0.6</f>
        <v>450176.80085914826</v>
      </c>
    </row>
    <row r="15" spans="1:27" s="1" customFormat="1" x14ac:dyDescent="0.2">
      <c r="B15" s="1" t="s">
        <v>23</v>
      </c>
      <c r="C15" s="5">
        <v>9119</v>
      </c>
      <c r="D15" s="5">
        <v>9841</v>
      </c>
      <c r="E15" s="5">
        <v>10273</v>
      </c>
      <c r="F15" s="5">
        <v>10267</v>
      </c>
      <c r="G15" s="5">
        <v>11468</v>
      </c>
      <c r="H15" s="5">
        <v>10588</v>
      </c>
      <c r="I15" s="5">
        <v>11258</v>
      </c>
      <c r="J15" s="5">
        <v>12113</v>
      </c>
      <c r="K15" s="5">
        <v>11903</v>
      </c>
      <c r="L15" s="5">
        <v>11860</v>
      </c>
      <c r="M15" s="5">
        <v>12447</v>
      </c>
      <c r="N15" s="5">
        <v>13116</v>
      </c>
      <c r="P15" s="1">
        <v>31562</v>
      </c>
      <c r="Q15" s="1">
        <v>39500</v>
      </c>
      <c r="R15" s="1">
        <v>45427</v>
      </c>
      <c r="S15" s="1">
        <v>49326</v>
      </c>
      <c r="T15" s="1">
        <f>S15*1.02</f>
        <v>50312.520000000004</v>
      </c>
      <c r="U15" s="1">
        <f>T15*1.02</f>
        <v>51318.770400000009</v>
      </c>
      <c r="V15" s="1">
        <f>U15*1.02</f>
        <v>52345.145808000008</v>
      </c>
      <c r="W15" s="1">
        <f>V15*1.02</f>
        <v>53392.048724160013</v>
      </c>
      <c r="X15" s="1">
        <f>W15*1.02</f>
        <v>54459.889698643216</v>
      </c>
      <c r="Y15" s="1">
        <f>X15*1.02</f>
        <v>55549.087492616083</v>
      </c>
      <c r="Z15" s="1">
        <f>Y15*1.02</f>
        <v>56660.069242468409</v>
      </c>
      <c r="AA15" s="1">
        <f>Z15*1.02</f>
        <v>57793.270627317776</v>
      </c>
    </row>
    <row r="16" spans="1:27" s="1" customFormat="1" x14ac:dyDescent="0.2">
      <c r="B16" s="1" t="s">
        <v>24</v>
      </c>
      <c r="C16" s="5">
        <v>5825</v>
      </c>
      <c r="D16" s="5">
        <v>6630</v>
      </c>
      <c r="E16" s="5">
        <v>6929</v>
      </c>
      <c r="F16" s="5">
        <v>7183</v>
      </c>
      <c r="G16" s="5">
        <v>6533</v>
      </c>
      <c r="H16" s="5">
        <v>6781</v>
      </c>
      <c r="I16" s="5">
        <v>6884</v>
      </c>
      <c r="J16" s="5">
        <v>7719</v>
      </c>
      <c r="K16" s="5">
        <v>6426</v>
      </c>
      <c r="L16" s="5">
        <v>6792</v>
      </c>
      <c r="M16" s="5">
        <v>7227</v>
      </c>
      <c r="N16" s="5">
        <v>7363</v>
      </c>
      <c r="P16" s="1">
        <v>22912</v>
      </c>
      <c r="Q16" s="1">
        <v>26567</v>
      </c>
      <c r="R16" s="1">
        <v>27917</v>
      </c>
      <c r="S16" s="1">
        <v>27808</v>
      </c>
      <c r="T16" s="1">
        <f>S16*1.02</f>
        <v>28364.16</v>
      </c>
      <c r="U16" s="1">
        <f>T16*1.02</f>
        <v>28931.443200000002</v>
      </c>
      <c r="V16" s="1">
        <f>U16*1.02</f>
        <v>29510.072064000004</v>
      </c>
      <c r="W16" s="1">
        <f>V16*1.02</f>
        <v>30100.273505280005</v>
      </c>
      <c r="X16" s="1">
        <f>W16*1.02</f>
        <v>30702.278975385605</v>
      </c>
      <c r="Y16" s="1">
        <f>X16*1.02</f>
        <v>31316.324554893319</v>
      </c>
      <c r="Z16" s="1">
        <f>Y16*1.02</f>
        <v>31942.651045991188</v>
      </c>
      <c r="AA16" s="1">
        <f>Z16*1.02</f>
        <v>32581.504066911013</v>
      </c>
    </row>
    <row r="17" spans="2:52" s="1" customFormat="1" x14ac:dyDescent="0.2">
      <c r="B17" s="1" t="s">
        <v>25</v>
      </c>
      <c r="C17" s="5">
        <v>3374</v>
      </c>
      <c r="D17" s="5">
        <v>3657</v>
      </c>
      <c r="E17" s="5">
        <v>3597</v>
      </c>
      <c r="F17" s="5">
        <v>5096</v>
      </c>
      <c r="G17" s="5">
        <v>3759</v>
      </c>
      <c r="H17" s="5">
        <v>3481</v>
      </c>
      <c r="I17" s="5">
        <v>3979</v>
      </c>
      <c r="J17" s="5">
        <v>5206</v>
      </c>
      <c r="K17" s="5">
        <v>3026</v>
      </c>
      <c r="L17" s="5">
        <v>3158</v>
      </c>
      <c r="M17" s="5">
        <v>3599</v>
      </c>
      <c r="N17" s="5">
        <v>4405</v>
      </c>
      <c r="P17" s="1">
        <v>13510</v>
      </c>
      <c r="Q17" s="1">
        <v>15724</v>
      </c>
      <c r="R17" s="1">
        <v>16425</v>
      </c>
      <c r="S17" s="1">
        <v>14188</v>
      </c>
      <c r="T17" s="1">
        <f>S17*1.02</f>
        <v>14471.76</v>
      </c>
      <c r="U17" s="1">
        <f>T17*1.02</f>
        <v>14761.1952</v>
      </c>
      <c r="V17" s="1">
        <f>U17*1.02</f>
        <v>15056.419104000001</v>
      </c>
      <c r="W17" s="1">
        <f>V17*1.02</f>
        <v>15357.54748608</v>
      </c>
      <c r="X17" s="1">
        <f>W17*1.02</f>
        <v>15664.698435801602</v>
      </c>
      <c r="Y17" s="1">
        <f>X17*1.02</f>
        <v>15977.992404517634</v>
      </c>
      <c r="Z17" s="1">
        <f>Y17*1.02</f>
        <v>16297.552252607988</v>
      </c>
      <c r="AA17" s="1">
        <f>Z17*1.02</f>
        <v>16623.503297660147</v>
      </c>
    </row>
    <row r="18" spans="2:52" s="1" customFormat="1" x14ac:dyDescent="0.2">
      <c r="B18" s="1" t="s">
        <v>46</v>
      </c>
      <c r="C18" s="5">
        <f t="shared" ref="C18:E18" si="21">SUM(C15:C17)</f>
        <v>18318</v>
      </c>
      <c r="D18" s="5">
        <f t="shared" si="21"/>
        <v>20128</v>
      </c>
      <c r="E18" s="5">
        <f t="shared" si="21"/>
        <v>20799</v>
      </c>
      <c r="F18" s="5">
        <f>SUM(F15:F17)</f>
        <v>22546</v>
      </c>
      <c r="G18" s="5">
        <f>SUM(G15:G17)</f>
        <v>21760</v>
      </c>
      <c r="H18" s="5">
        <f t="shared" ref="H18:J18" si="22">SUM(H15:H17)</f>
        <v>20850</v>
      </c>
      <c r="I18" s="5">
        <f t="shared" si="22"/>
        <v>22121</v>
      </c>
      <c r="J18" s="5">
        <f t="shared" si="22"/>
        <v>25038</v>
      </c>
      <c r="K18" s="5">
        <f t="shared" ref="K18" si="23">SUM(K15:K17)</f>
        <v>21355</v>
      </c>
      <c r="L18" s="5">
        <f t="shared" ref="L18" si="24">SUM(L15:L17)</f>
        <v>21810</v>
      </c>
      <c r="M18" s="5">
        <f t="shared" ref="M18" si="25">SUM(M15:M17)</f>
        <v>23273</v>
      </c>
      <c r="N18" s="5">
        <f t="shared" ref="N18" si="26">SUM(N15:N17)</f>
        <v>24884</v>
      </c>
      <c r="P18" s="1">
        <f t="shared" ref="P18:Q18" si="27">P17+P16+P15</f>
        <v>67984</v>
      </c>
      <c r="Q18" s="1">
        <f t="shared" si="27"/>
        <v>81791</v>
      </c>
      <c r="R18" s="1">
        <f>R17+R16+R15</f>
        <v>89769</v>
      </c>
      <c r="S18" s="1">
        <f t="shared" ref="S18" si="28">S17+S16+S15</f>
        <v>91322</v>
      </c>
      <c r="T18" s="1">
        <f>T17+T16+T15</f>
        <v>93148.44</v>
      </c>
      <c r="U18" s="1">
        <f>U17+U16+U15</f>
        <v>95011.408800000005</v>
      </c>
      <c r="V18" s="1">
        <f>V17+V16+V15</f>
        <v>96911.636976000009</v>
      </c>
      <c r="W18" s="1">
        <f>W17+W16+W15</f>
        <v>98849.869715520021</v>
      </c>
      <c r="X18" s="1">
        <f>X17+X16+X15</f>
        <v>100826.86710983043</v>
      </c>
      <c r="Y18" s="1">
        <f>Y17+Y16+Y15</f>
        <v>102843.40445202703</v>
      </c>
      <c r="Z18" s="1">
        <f>Z17+Z16+Z15</f>
        <v>104900.27254106759</v>
      </c>
      <c r="AA18" s="1">
        <f>AA17+AA16+AA15</f>
        <v>106998.27799188893</v>
      </c>
    </row>
    <row r="19" spans="2:52" s="1" customFormat="1" x14ac:dyDescent="0.2">
      <c r="B19" s="1" t="s">
        <v>47</v>
      </c>
      <c r="C19" s="5">
        <f t="shared" ref="C19" si="29">C14-C18</f>
        <v>20094</v>
      </c>
      <c r="D19" s="5">
        <f t="shared" ref="D19" si="30">D14-D18</f>
        <v>19453</v>
      </c>
      <c r="E19" s="5">
        <f t="shared" ref="E19" si="31">E14-E18</f>
        <v>17135</v>
      </c>
      <c r="F19" s="5">
        <f t="shared" ref="F19" si="32">F14-F18</f>
        <v>18260</v>
      </c>
      <c r="G19" s="5">
        <f t="shared" ref="G19:J19" si="33">G14-G18</f>
        <v>17415</v>
      </c>
      <c r="H19" s="5">
        <f t="shared" si="33"/>
        <v>21838</v>
      </c>
      <c r="I19" s="5">
        <f t="shared" si="33"/>
        <v>21343</v>
      </c>
      <c r="J19" s="5">
        <f t="shared" si="33"/>
        <v>23697</v>
      </c>
      <c r="K19" s="5">
        <f>K14-K18</f>
        <v>25172</v>
      </c>
      <c r="L19" s="5">
        <f t="shared" ref="L19:N19" si="34">L14-L18</f>
        <v>27425</v>
      </c>
      <c r="M19" s="5">
        <f t="shared" si="34"/>
        <v>28521</v>
      </c>
      <c r="N19" s="5">
        <f t="shared" si="34"/>
        <v>30113</v>
      </c>
      <c r="P19" s="1">
        <f t="shared" ref="P19:Q19" si="35">P14-P18</f>
        <v>78714</v>
      </c>
      <c r="Q19" s="1">
        <f t="shared" si="35"/>
        <v>74842</v>
      </c>
      <c r="R19" s="1">
        <f>R14-R18</f>
        <v>84293</v>
      </c>
      <c r="S19" s="1">
        <f t="shared" ref="S19" si="36">S14-S18</f>
        <v>112390</v>
      </c>
      <c r="T19" s="1">
        <f>T14-T18</f>
        <v>137863.44000000003</v>
      </c>
      <c r="U19" s="1">
        <f>U14-U18</f>
        <v>159101.65920000002</v>
      </c>
      <c r="V19" s="1">
        <f>V14-V18</f>
        <v>182612.7378240001</v>
      </c>
      <c r="W19" s="1">
        <f>W14-W18</f>
        <v>208626.94256448012</v>
      </c>
      <c r="X19" s="1">
        <f>X14-X18</f>
        <v>237397.62639816973</v>
      </c>
      <c r="Y19" s="1">
        <f>Y14-Y18</f>
        <v>269203.53840677312</v>
      </c>
      <c r="Z19" s="1">
        <f>Z14-Z18</f>
        <v>304351.36460361257</v>
      </c>
      <c r="AA19" s="1">
        <f>AA14-AA18</f>
        <v>343178.52286725934</v>
      </c>
    </row>
    <row r="20" spans="2:52" s="1" customFormat="1" x14ac:dyDescent="0.2">
      <c r="B20" s="1" t="s">
        <v>27</v>
      </c>
      <c r="C20" s="5">
        <v>-1160</v>
      </c>
      <c r="D20" s="5">
        <v>-439</v>
      </c>
      <c r="E20" s="5">
        <v>-902</v>
      </c>
      <c r="F20" s="5">
        <v>1013</v>
      </c>
      <c r="G20" s="5">
        <v>790</v>
      </c>
      <c r="H20" s="5">
        <v>65</v>
      </c>
      <c r="I20" s="5">
        <v>-146</v>
      </c>
      <c r="J20" s="5">
        <v>715</v>
      </c>
      <c r="K20" s="5">
        <v>2843</v>
      </c>
      <c r="L20" s="5">
        <v>126</v>
      </c>
      <c r="M20" s="5">
        <v>3185</v>
      </c>
      <c r="N20" s="5">
        <v>1271</v>
      </c>
      <c r="P20" s="1">
        <v>12020</v>
      </c>
      <c r="Q20" s="1">
        <v>-3514</v>
      </c>
      <c r="R20" s="1">
        <v>1424</v>
      </c>
      <c r="S20" s="1">
        <v>7425</v>
      </c>
      <c r="T20" s="1">
        <v>5000</v>
      </c>
      <c r="U20" s="1">
        <v>5000</v>
      </c>
      <c r="V20" s="1">
        <v>5000</v>
      </c>
      <c r="W20" s="1">
        <v>5000</v>
      </c>
      <c r="X20" s="1">
        <v>5000</v>
      </c>
      <c r="Y20" s="1">
        <v>5000</v>
      </c>
      <c r="Z20" s="1">
        <v>5000</v>
      </c>
      <c r="AA20" s="1">
        <v>5000</v>
      </c>
    </row>
    <row r="21" spans="2:52" s="1" customFormat="1" x14ac:dyDescent="0.2">
      <c r="B21" s="1" t="s">
        <v>28</v>
      </c>
      <c r="C21" s="5">
        <v>18934</v>
      </c>
      <c r="D21" s="5">
        <v>19014</v>
      </c>
      <c r="E21" s="5">
        <v>16233</v>
      </c>
      <c r="F21" s="5">
        <v>17147</v>
      </c>
      <c r="G21" s="5">
        <f>G19+G20</f>
        <v>18205</v>
      </c>
      <c r="H21" s="5">
        <f t="shared" ref="H21:K21" si="37">H19+H20</f>
        <v>21903</v>
      </c>
      <c r="I21" s="5">
        <f t="shared" si="37"/>
        <v>21197</v>
      </c>
      <c r="J21" s="5">
        <v>24412</v>
      </c>
      <c r="K21" s="5">
        <f t="shared" si="37"/>
        <v>28015</v>
      </c>
      <c r="L21" s="5">
        <f t="shared" ref="L21" si="38">L19+L20</f>
        <v>27551</v>
      </c>
      <c r="M21" s="5">
        <f t="shared" ref="M21" si="39">M19+M20</f>
        <v>31706</v>
      </c>
      <c r="N21" s="5">
        <f t="shared" ref="N21" si="40">N19+N20</f>
        <v>31384</v>
      </c>
      <c r="P21" s="1">
        <f t="shared" ref="P21:Q21" si="41">P19+P20</f>
        <v>90734</v>
      </c>
      <c r="Q21" s="1">
        <f t="shared" si="41"/>
        <v>71328</v>
      </c>
      <c r="R21" s="1">
        <f>R19+R20</f>
        <v>85717</v>
      </c>
      <c r="S21" s="1">
        <f t="shared" ref="S21" si="42">S19+S20</f>
        <v>119815</v>
      </c>
      <c r="T21" s="1">
        <f>T19+T20</f>
        <v>142863.44000000003</v>
      </c>
      <c r="U21" s="1">
        <f>U19+U20</f>
        <v>164101.65920000002</v>
      </c>
      <c r="V21" s="1">
        <f>V19+V20</f>
        <v>187612.7378240001</v>
      </c>
      <c r="W21" s="1">
        <f>W19+W20</f>
        <v>213626.94256448012</v>
      </c>
      <c r="X21" s="1">
        <f>X19+X20</f>
        <v>242397.62639816973</v>
      </c>
      <c r="Y21" s="1">
        <f>Y19+Y20</f>
        <v>274203.53840677312</v>
      </c>
      <c r="Z21" s="1">
        <f>Z19+Z20</f>
        <v>309351.36460361257</v>
      </c>
      <c r="AA21" s="1">
        <f>AA19+AA20</f>
        <v>348178.52286725934</v>
      </c>
    </row>
    <row r="22" spans="2:52" x14ac:dyDescent="0.2">
      <c r="B22" s="1" t="s">
        <v>29</v>
      </c>
      <c r="C22" s="4">
        <v>2498</v>
      </c>
      <c r="D22" s="4">
        <v>3012</v>
      </c>
      <c r="E22" s="4">
        <v>2323</v>
      </c>
      <c r="F22" s="4">
        <v>3523</v>
      </c>
      <c r="G22" s="4">
        <v>3154</v>
      </c>
      <c r="H22" s="4">
        <v>3535</v>
      </c>
      <c r="I22" s="4">
        <v>1508</v>
      </c>
      <c r="J22" s="4">
        <v>3725</v>
      </c>
      <c r="K22" s="4">
        <v>4653</v>
      </c>
      <c r="L22" s="4">
        <v>3932</v>
      </c>
      <c r="M22" s="4">
        <v>5405</v>
      </c>
      <c r="N22" s="4">
        <v>5707</v>
      </c>
      <c r="P22" s="4">
        <v>14701</v>
      </c>
      <c r="Q22" s="4">
        <v>11356</v>
      </c>
      <c r="R22">
        <v>11922</v>
      </c>
      <c r="S22">
        <v>19697</v>
      </c>
      <c r="T22">
        <f>S22*1.14</f>
        <v>22454.579999999998</v>
      </c>
      <c r="U22">
        <f>T22*1.05</f>
        <v>23577.308999999997</v>
      </c>
      <c r="V22">
        <f>U22*1.05</f>
        <v>24756.174449999999</v>
      </c>
      <c r="W22">
        <f>V22*1.05</f>
        <v>25993.9831725</v>
      </c>
      <c r="X22">
        <f>W22*1.05</f>
        <v>27293.682331125001</v>
      </c>
      <c r="Y22">
        <f>X22*1.05</f>
        <v>28658.366447681252</v>
      </c>
      <c r="Z22">
        <f>Y22*1.05</f>
        <v>30091.284770065315</v>
      </c>
      <c r="AA22">
        <f>Z22*1.05</f>
        <v>31595.849008568581</v>
      </c>
    </row>
    <row r="23" spans="2:52" s="6" customFormat="1" x14ac:dyDescent="0.2">
      <c r="B23" s="7" t="s">
        <v>30</v>
      </c>
      <c r="C23" s="8">
        <f t="shared" ref="C23:F23" si="43">C21-C22</f>
        <v>16436</v>
      </c>
      <c r="D23" s="8">
        <f t="shared" si="43"/>
        <v>16002</v>
      </c>
      <c r="E23" s="8">
        <f t="shared" si="43"/>
        <v>13910</v>
      </c>
      <c r="F23" s="8">
        <f t="shared" si="43"/>
        <v>13624</v>
      </c>
      <c r="G23" s="8">
        <f>G21-G22</f>
        <v>15051</v>
      </c>
      <c r="H23" s="8">
        <f t="shared" ref="H23:K23" si="44">H21-H22</f>
        <v>18368</v>
      </c>
      <c r="I23" s="8">
        <f t="shared" si="44"/>
        <v>19689</v>
      </c>
      <c r="J23" s="8">
        <f t="shared" si="44"/>
        <v>20687</v>
      </c>
      <c r="K23" s="8">
        <f t="shared" si="44"/>
        <v>23362</v>
      </c>
      <c r="L23" s="8">
        <f t="shared" ref="L23" si="45">L21-L22</f>
        <v>23619</v>
      </c>
      <c r="M23" s="8">
        <f t="shared" ref="M23" si="46">M21-M22</f>
        <v>26301</v>
      </c>
      <c r="N23" s="8">
        <v>26536</v>
      </c>
      <c r="P23" s="7">
        <f t="shared" ref="P23:Q23" si="47">P21-P22</f>
        <v>76033</v>
      </c>
      <c r="Q23" s="7">
        <f t="shared" si="47"/>
        <v>59972</v>
      </c>
      <c r="R23" s="7">
        <f>R21-R22</f>
        <v>73795</v>
      </c>
      <c r="S23" s="7">
        <f t="shared" ref="S23" si="48">S21-S22</f>
        <v>100118</v>
      </c>
      <c r="T23" s="13">
        <f>T21-T22</f>
        <v>120408.86000000003</v>
      </c>
      <c r="U23" s="13">
        <f>U21-U22</f>
        <v>140524.35020000002</v>
      </c>
      <c r="V23" s="13">
        <f>V21-V22</f>
        <v>162856.56337400011</v>
      </c>
      <c r="W23" s="13">
        <f>W21-W22</f>
        <v>187632.95939198011</v>
      </c>
      <c r="X23" s="13">
        <f>X21-X22</f>
        <v>215103.94406704474</v>
      </c>
      <c r="Y23" s="13">
        <f>Y21-Y22</f>
        <v>245545.17195909188</v>
      </c>
      <c r="Z23" s="13">
        <f>Z21-Z22</f>
        <v>279260.07983354724</v>
      </c>
      <c r="AA23" s="13">
        <f>AA21-AA22</f>
        <v>316582.67385869077</v>
      </c>
      <c r="AB23" s="7">
        <f>AA23*1.005</f>
        <v>318165.58722798422</v>
      </c>
      <c r="AC23" s="13">
        <f>AB23*1.02</f>
        <v>324528.89897254389</v>
      </c>
      <c r="AD23" s="13">
        <f>AC23*1.02</f>
        <v>331019.47695199476</v>
      </c>
      <c r="AE23" s="13">
        <f>AD23*1.02</f>
        <v>337639.86649103469</v>
      </c>
      <c r="AF23" s="13">
        <f>AE23*1.02</f>
        <v>344392.66382085538</v>
      </c>
      <c r="AG23" s="13">
        <f>AF23*1.02</f>
        <v>351280.5170972725</v>
      </c>
      <c r="AH23" s="13">
        <f>AG23*1.02</f>
        <v>358306.12743921793</v>
      </c>
      <c r="AI23" s="13">
        <f>AH23*1.02</f>
        <v>365472.2499880023</v>
      </c>
      <c r="AJ23" s="13">
        <f>AI23*1.02</f>
        <v>372781.69498776237</v>
      </c>
      <c r="AK23" s="13">
        <f>AJ23*1.02</f>
        <v>380237.32888751762</v>
      </c>
      <c r="AL23" s="13">
        <f>AK23*1.02</f>
        <v>387842.07546526799</v>
      </c>
      <c r="AM23" s="13">
        <f>AL23*1.02</f>
        <v>395598.91697457334</v>
      </c>
      <c r="AN23" s="13">
        <f>AM23*1.02</f>
        <v>403510.89531406481</v>
      </c>
      <c r="AO23" s="13">
        <f>AN23*1.02</f>
        <v>411581.1132203461</v>
      </c>
      <c r="AP23" s="13">
        <f>AO23*1.02</f>
        <v>419812.73548475304</v>
      </c>
      <c r="AQ23" s="13">
        <f>AP23*1.02</f>
        <v>428208.9901944481</v>
      </c>
      <c r="AR23" s="13">
        <f>AQ23*1.02</f>
        <v>436773.16999833705</v>
      </c>
      <c r="AS23" s="13">
        <f>AR23*1.02</f>
        <v>445508.63339830382</v>
      </c>
      <c r="AT23" s="13">
        <f>AS23*1.02</f>
        <v>454418.80606626993</v>
      </c>
      <c r="AU23" s="13">
        <f>AT23*1.02</f>
        <v>463507.18218759535</v>
      </c>
      <c r="AV23" s="13">
        <f>AU23*1.02</f>
        <v>472777.32583134726</v>
      </c>
      <c r="AW23" s="13">
        <f>AV23*1.02</f>
        <v>482232.87234797422</v>
      </c>
      <c r="AX23" s="13">
        <f>AW23*1.02</f>
        <v>491877.52979493374</v>
      </c>
      <c r="AY23" s="13">
        <f>AX23*1.02</f>
        <v>501715.08039083245</v>
      </c>
      <c r="AZ23" s="13">
        <f>AY23*1.02</f>
        <v>511749.3819986491</v>
      </c>
    </row>
    <row r="24" spans="2:52" s="9" customFormat="1" x14ac:dyDescent="0.2">
      <c r="B24" s="9" t="s">
        <v>31</v>
      </c>
      <c r="C24" s="10">
        <f t="shared" ref="C24:F24" si="49">C23/C25</f>
        <v>1.2310688337952214</v>
      </c>
      <c r="D24" s="10">
        <f t="shared" si="49"/>
        <v>1.2087015635622025</v>
      </c>
      <c r="E24" s="10">
        <f t="shared" si="49"/>
        <v>1.0620752844162786</v>
      </c>
      <c r="F24" s="10">
        <f t="shared" si="49"/>
        <v>1.0522901058160192</v>
      </c>
      <c r="G24" s="10">
        <f>G23/G25</f>
        <v>1.1737502924432659</v>
      </c>
      <c r="H24" s="10">
        <f t="shared" ref="H24:J24" si="50">H23/H25</f>
        <v>1.439047320589157</v>
      </c>
      <c r="I24" s="10">
        <f t="shared" si="50"/>
        <v>1.5508034026465027</v>
      </c>
      <c r="J24" s="10">
        <f t="shared" si="50"/>
        <v>1.6415648309792097</v>
      </c>
      <c r="K24" s="10">
        <f>K23/K25</f>
        <v>1.8649317474255609</v>
      </c>
      <c r="L24" s="10">
        <f t="shared" ref="L24:N24" si="51">L23/L25</f>
        <v>1.8902761104441776</v>
      </c>
      <c r="M24" s="10">
        <f t="shared" si="51"/>
        <v>2.1178033658104516</v>
      </c>
      <c r="N24" s="10">
        <f t="shared" si="51"/>
        <v>2.1490119857466796</v>
      </c>
      <c r="P24" s="9">
        <f t="shared" ref="P24:Q24" si="52">P23/P25</f>
        <v>5.6100494355493247</v>
      </c>
      <c r="Q24" s="9">
        <f t="shared" si="52"/>
        <v>4.5574891709096432</v>
      </c>
      <c r="R24" s="9">
        <f>R23/R25</f>
        <v>5.800581669548813</v>
      </c>
      <c r="S24" s="9">
        <f>S23/S25</f>
        <v>8.0435446292279256</v>
      </c>
      <c r="T24" s="9">
        <f>T23/T25</f>
        <v>9.6327088000000032</v>
      </c>
      <c r="U24" s="9">
        <f>U23/U25</f>
        <v>11.130641600000001</v>
      </c>
      <c r="V24" s="9">
        <f>V23/V25</f>
        <v>12.771811655641612</v>
      </c>
      <c r="W24" s="9">
        <f>W23/W25</f>
        <v>14.7151564106329</v>
      </c>
      <c r="X24" s="9">
        <f>X23/X25</f>
        <v>16.869574470005862</v>
      </c>
      <c r="Y24" s="9">
        <f>Y23/Y25</f>
        <v>19.256934511731778</v>
      </c>
      <c r="Z24" s="9">
        <f>Z23/Z25</f>
        <v>21.901033631365951</v>
      </c>
      <c r="AA24" s="9">
        <f>AA23/AA25</f>
        <v>24.828066336655226</v>
      </c>
    </row>
    <row r="25" spans="2:52" s="1" customFormat="1" x14ac:dyDescent="0.2">
      <c r="B25" s="1" t="s">
        <v>2</v>
      </c>
      <c r="C25" s="5">
        <v>13351</v>
      </c>
      <c r="D25" s="5">
        <v>13239</v>
      </c>
      <c r="E25" s="5">
        <v>13097</v>
      </c>
      <c r="F25" s="5">
        <v>12947</v>
      </c>
      <c r="G25" s="5">
        <v>12823</v>
      </c>
      <c r="H25" s="5">
        <v>12764</v>
      </c>
      <c r="I25" s="5">
        <v>12696</v>
      </c>
      <c r="J25" s="5">
        <v>12602</v>
      </c>
      <c r="K25" s="5">
        <v>12527</v>
      </c>
      <c r="L25" s="5">
        <v>12495</v>
      </c>
      <c r="M25" s="5">
        <v>12419</v>
      </c>
      <c r="N25" s="5">
        <v>12348</v>
      </c>
      <c r="P25" s="1">
        <v>13553</v>
      </c>
      <c r="Q25" s="1">
        <v>13159</v>
      </c>
      <c r="R25" s="1">
        <v>12722</v>
      </c>
      <c r="S25" s="1">
        <v>12447</v>
      </c>
      <c r="T25" s="1">
        <v>12500</v>
      </c>
      <c r="U25" s="1">
        <f>T25*1.01</f>
        <v>12625</v>
      </c>
      <c r="V25" s="1">
        <f>U25*1.01</f>
        <v>12751.25</v>
      </c>
      <c r="W25" s="1">
        <v>12751</v>
      </c>
      <c r="X25" s="1">
        <v>12751</v>
      </c>
      <c r="Y25" s="1">
        <v>12751</v>
      </c>
      <c r="Z25" s="1">
        <v>12751</v>
      </c>
      <c r="AA25" s="1">
        <v>12751</v>
      </c>
    </row>
    <row r="26" spans="2:52" x14ac:dyDescent="0.2">
      <c r="W26" s="1"/>
    </row>
    <row r="27" spans="2:52" s="12" customFormat="1" x14ac:dyDescent="0.2">
      <c r="B27" s="12" t="s">
        <v>33</v>
      </c>
      <c r="C27" s="11"/>
      <c r="D27" s="11"/>
      <c r="E27" s="11"/>
      <c r="F27" s="11"/>
      <c r="G27" s="11">
        <f t="shared" ref="G27" si="53">G12/C12-1</f>
        <v>2.6113422828660138E-2</v>
      </c>
      <c r="H27" s="11">
        <f>H12/D12-1</f>
        <v>7.0589079428858392E-2</v>
      </c>
      <c r="I27" s="11">
        <f>I12/E12-1</f>
        <v>0.11001273664100042</v>
      </c>
      <c r="J27" s="11">
        <f>J12/F12-1</f>
        <v>0.13494108983799702</v>
      </c>
      <c r="K27" s="11">
        <f>K12/G12-1</f>
        <v>0.14977001447260951</v>
      </c>
      <c r="L27" s="11">
        <f t="shared" ref="L27:N27" si="54">L12/H12-1</f>
        <v>0.13589083695244231</v>
      </c>
      <c r="M27" s="11">
        <f t="shared" si="54"/>
        <v>0.15092642092498654</v>
      </c>
      <c r="N27" s="11">
        <f t="shared" si="54"/>
        <v>0.10775112964893996</v>
      </c>
      <c r="Q27" s="12">
        <f t="shared" ref="Q27:R27" si="55">Q12/P12-1</f>
        <v>9.7808156437157789E-2</v>
      </c>
      <c r="R27" s="12">
        <f t="shared" si="55"/>
        <v>8.6827702272695095E-2</v>
      </c>
      <c r="S27" s="12">
        <f>S12/R12-1</f>
        <v>0.13866243322901561</v>
      </c>
    </row>
    <row r="28" spans="2:52" s="12" customFormat="1" ht="15.75" x14ac:dyDescent="0.2">
      <c r="B28" s="12" t="s">
        <v>40</v>
      </c>
      <c r="C28" s="11"/>
      <c r="D28" s="11"/>
      <c r="E28" s="11"/>
      <c r="F28" s="11"/>
      <c r="G28" s="11">
        <f>G8/C8-1</f>
        <v>7.9548412285268544E-3</v>
      </c>
      <c r="H28" s="11">
        <f>H8/D8-1</f>
        <v>5.4804984007256419E-2</v>
      </c>
      <c r="I28" s="11">
        <f>I8/E8-1</f>
        <v>0.1076787721785033</v>
      </c>
      <c r="J28" s="11">
        <f>J8/F8-1</f>
        <v>0.12490049824582083</v>
      </c>
      <c r="K28" s="11">
        <f>K8/G8-1</f>
        <v>0.13132454285760398</v>
      </c>
      <c r="L28" s="11">
        <f>L8/H8-1</f>
        <v>0.11530512182243347</v>
      </c>
      <c r="M28" s="11">
        <f>M8/I8-1</f>
        <v>0.12537875444944557</v>
      </c>
      <c r="N28" s="11">
        <f>N8/J8-1</f>
        <v>9.073397020088847E-2</v>
      </c>
    </row>
    <row r="29" spans="2:52" s="12" customFormat="1" ht="15.75" x14ac:dyDescent="0.2">
      <c r="B29" s="12" t="s">
        <v>41</v>
      </c>
      <c r="C29" s="11"/>
      <c r="D29" s="11"/>
      <c r="E29" s="11"/>
      <c r="F29" s="11"/>
      <c r="G29" s="11">
        <f>G11/C11-1</f>
        <v>0.28053599037965982</v>
      </c>
      <c r="H29" s="11">
        <f>H11/D11-1</f>
        <v>0.2796367112810707</v>
      </c>
      <c r="I29" s="11">
        <f>I11/E11-1</f>
        <v>0.22466511357018049</v>
      </c>
      <c r="J29" s="11">
        <f>J11/F11-1</f>
        <v>0.25659603554340404</v>
      </c>
      <c r="K29" s="11">
        <f>K11/G11-1</f>
        <v>0.28441105446740012</v>
      </c>
      <c r="L29" s="11">
        <f>L11/H11-1</f>
        <v>0.28838251774374291</v>
      </c>
      <c r="M29" s="11">
        <f>M11/I11-1</f>
        <v>0.34978004993460954</v>
      </c>
      <c r="N29" s="11">
        <f>N11/J11-1</f>
        <v>0.3005874673629243</v>
      </c>
    </row>
    <row r="30" spans="2:52" x14ac:dyDescent="0.2">
      <c r="B30" t="s">
        <v>32</v>
      </c>
      <c r="C30" s="11">
        <f>C14/C12</f>
        <v>0.5647909896928438</v>
      </c>
      <c r="D30" s="11">
        <f>D14/D12</f>
        <v>0.56799885197675248</v>
      </c>
      <c r="E30" s="11">
        <f>E14/E12</f>
        <v>0.54903606785156023</v>
      </c>
      <c r="F30" s="11">
        <f>F14/F12</f>
        <v>0.53658215863665049</v>
      </c>
      <c r="G30" s="11">
        <f>G14/G12</f>
        <v>0.56135096794531936</v>
      </c>
      <c r="H30" s="11">
        <f>H14/H12</f>
        <v>0.5721945204010509</v>
      </c>
      <c r="I30" s="11">
        <f>I14/I12</f>
        <v>0.56672708069836886</v>
      </c>
      <c r="J30" s="11">
        <f>J14/J12</f>
        <v>0.56465067778936395</v>
      </c>
      <c r="K30" s="11">
        <f>K14/K12</f>
        <v>0.57985518264185743</v>
      </c>
      <c r="L30" s="11">
        <f>L14/L12</f>
        <v>0.58099879634655782</v>
      </c>
      <c r="M30" s="11">
        <f>M14/M12</f>
        <v>0.58678116644763678</v>
      </c>
      <c r="N30" s="11">
        <f>N14/N12</f>
        <v>0.57522225708607888</v>
      </c>
      <c r="P30" s="12">
        <f>P14/P12</f>
        <v>0.5693980290098084</v>
      </c>
      <c r="Q30" s="12">
        <f>Q14/Q12</f>
        <v>0.55379442503783116</v>
      </c>
      <c r="R30" s="12">
        <f>R14/R12</f>
        <v>0.56625047984020505</v>
      </c>
      <c r="S30" s="12">
        <f>S14/S12</f>
        <v>0.58200435406179107</v>
      </c>
      <c r="T30" s="12">
        <v>0.6</v>
      </c>
      <c r="U30" s="12">
        <v>0.6</v>
      </c>
      <c r="V30" s="12">
        <v>0.6</v>
      </c>
      <c r="W30" s="12">
        <v>0.6</v>
      </c>
      <c r="X30" s="12">
        <v>0.6</v>
      </c>
      <c r="Y30" s="12">
        <v>0.6</v>
      </c>
      <c r="Z30" s="12">
        <v>0.6</v>
      </c>
      <c r="AA30" s="12">
        <v>0.6</v>
      </c>
    </row>
    <row r="31" spans="2:52" s="12" customFormat="1" x14ac:dyDescent="0.2">
      <c r="B31" s="12" t="s">
        <v>49</v>
      </c>
      <c r="C31" s="11"/>
      <c r="D31" s="11"/>
      <c r="E31" s="11"/>
      <c r="F31" s="11"/>
      <c r="G31" s="11">
        <f>G23/F23-1</f>
        <v>0.10474163241338807</v>
      </c>
      <c r="H31" s="11">
        <f>H23/G23-1</f>
        <v>0.2203840276393596</v>
      </c>
      <c r="I31" s="11">
        <f>I23/H23-1</f>
        <v>7.1918554006968671E-2</v>
      </c>
      <c r="J31" s="11">
        <f>J23/I23-1</f>
        <v>5.0688201533851451E-2</v>
      </c>
      <c r="K31" s="11">
        <f>K23/J23-1</f>
        <v>0.12930826122685746</v>
      </c>
      <c r="L31" s="11">
        <f>L23/K23-1</f>
        <v>1.1000770481979227E-2</v>
      </c>
      <c r="M31" s="11">
        <f>M23/L23-1</f>
        <v>0.11355264829162959</v>
      </c>
      <c r="N31" s="11">
        <f>N23/M23-1</f>
        <v>8.9350214820729246E-3</v>
      </c>
      <c r="O31" s="11"/>
      <c r="P31" s="11"/>
      <c r="Q31" s="11">
        <f>Q23/P23-1</f>
        <v>-0.21123722594136751</v>
      </c>
      <c r="R31" s="11">
        <f>R23/Q23-1</f>
        <v>0.23049089575135073</v>
      </c>
      <c r="S31" s="11">
        <f>S23/R23-1</f>
        <v>0.35670438376583768</v>
      </c>
    </row>
    <row r="32" spans="2:52" x14ac:dyDescent="0.2">
      <c r="K32" s="5"/>
    </row>
    <row r="34" spans="2:24" x14ac:dyDescent="0.2">
      <c r="W34" t="s">
        <v>50</v>
      </c>
      <c r="X34" s="16">
        <v>5.0000000000000001E-3</v>
      </c>
    </row>
    <row r="35" spans="2:24" x14ac:dyDescent="0.2">
      <c r="W35" t="s">
        <v>51</v>
      </c>
      <c r="X35" s="15">
        <v>8.5300000000000001E-2</v>
      </c>
    </row>
    <row r="36" spans="2:24" s="1" customFormat="1" x14ac:dyDescent="0.2">
      <c r="B36" s="1" t="s">
        <v>34</v>
      </c>
      <c r="C36" s="5">
        <v>25106</v>
      </c>
      <c r="D36" s="5">
        <v>19422</v>
      </c>
      <c r="E36" s="5">
        <v>23353</v>
      </c>
      <c r="F36" s="5">
        <v>23614</v>
      </c>
      <c r="G36" s="5">
        <v>23509</v>
      </c>
      <c r="H36" s="5">
        <v>28666</v>
      </c>
      <c r="I36" s="5">
        <v>30656</v>
      </c>
      <c r="J36" s="5">
        <v>18915</v>
      </c>
      <c r="K36" s="5">
        <v>28848</v>
      </c>
      <c r="L36" s="5">
        <v>26640</v>
      </c>
      <c r="M36" s="5">
        <v>30698</v>
      </c>
      <c r="N36" s="5">
        <v>39113</v>
      </c>
      <c r="P36" s="1">
        <v>91652</v>
      </c>
      <c r="Q36" s="1">
        <v>91495</v>
      </c>
      <c r="R36" s="1">
        <v>101746</v>
      </c>
      <c r="S36" s="1">
        <v>125299</v>
      </c>
      <c r="W36" s="1" t="s">
        <v>52</v>
      </c>
      <c r="X36" s="1">
        <f>NPV(X35,P23:AZ23)-(Main!D7)+Main!D8</f>
        <v>2402424.4261521623</v>
      </c>
    </row>
    <row r="37" spans="2:24" s="1" customFormat="1" x14ac:dyDescent="0.2">
      <c r="B37" s="1" t="s">
        <v>35</v>
      </c>
      <c r="C37" s="5">
        <v>9786</v>
      </c>
      <c r="D37" s="5">
        <v>6828</v>
      </c>
      <c r="E37" s="5">
        <v>7276</v>
      </c>
      <c r="F37" s="5">
        <v>7595</v>
      </c>
      <c r="G37" s="5">
        <v>6289</v>
      </c>
      <c r="H37" s="5">
        <v>6888</v>
      </c>
      <c r="I37" s="5">
        <v>8055</v>
      </c>
      <c r="J37" s="5">
        <v>11019</v>
      </c>
      <c r="K37" s="5">
        <v>12012</v>
      </c>
      <c r="L37" s="5">
        <v>13186</v>
      </c>
      <c r="M37" s="5">
        <v>13061</v>
      </c>
      <c r="N37" s="5">
        <v>14276</v>
      </c>
      <c r="P37" s="1">
        <v>24640</v>
      </c>
      <c r="Q37" s="1">
        <v>31485</v>
      </c>
      <c r="R37" s="1">
        <v>32251</v>
      </c>
      <c r="S37" s="1">
        <v>52535</v>
      </c>
      <c r="W37" s="13" t="s">
        <v>55</v>
      </c>
      <c r="X37" s="13">
        <f>X36/DCF!D5</f>
        <v>327.30578012972239</v>
      </c>
    </row>
    <row r="38" spans="2:24" s="1" customFormat="1" x14ac:dyDescent="0.2">
      <c r="B38" s="1" t="s">
        <v>36</v>
      </c>
      <c r="C38" s="5">
        <f t="shared" ref="C38:E38" si="56">C36-C37</f>
        <v>15320</v>
      </c>
      <c r="D38" s="5">
        <f t="shared" si="56"/>
        <v>12594</v>
      </c>
      <c r="E38" s="5">
        <f t="shared" si="56"/>
        <v>16077</v>
      </c>
      <c r="F38" s="5">
        <f>F36-F37</f>
        <v>16019</v>
      </c>
      <c r="G38" s="5">
        <f>G36-G37</f>
        <v>17220</v>
      </c>
      <c r="H38" s="5">
        <f t="shared" ref="H38:J38" si="57">H36-H37</f>
        <v>21778</v>
      </c>
      <c r="I38" s="5">
        <f t="shared" si="57"/>
        <v>22601</v>
      </c>
      <c r="J38" s="5">
        <f t="shared" si="57"/>
        <v>7896</v>
      </c>
      <c r="K38" s="5">
        <f t="shared" ref="K38" si="58">K36-K37</f>
        <v>16836</v>
      </c>
      <c r="L38" s="5">
        <f t="shared" ref="L38" si="59">L36-L37</f>
        <v>13454</v>
      </c>
      <c r="M38" s="5">
        <f t="shared" ref="M38" si="60">M36-M37</f>
        <v>17637</v>
      </c>
      <c r="N38" s="5">
        <f t="shared" ref="N38" si="61">N36-N37</f>
        <v>24837</v>
      </c>
      <c r="P38" s="1">
        <f>P36-P37</f>
        <v>67012</v>
      </c>
      <c r="Q38" s="1">
        <f t="shared" ref="Q38:S38" si="62">Q36-Q37</f>
        <v>60010</v>
      </c>
      <c r="R38" s="1">
        <f t="shared" si="62"/>
        <v>69495</v>
      </c>
      <c r="S38" s="1">
        <f t="shared" si="62"/>
        <v>72764</v>
      </c>
      <c r="W38" s="1" t="s">
        <v>54</v>
      </c>
      <c r="X38" s="12">
        <f>X37/Main!D4-1</f>
        <v>1.2154174910635058</v>
      </c>
    </row>
    <row r="41" spans="2:24" x14ac:dyDescent="0.2">
      <c r="Q4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cp:lastModifiedBy>Alan Chen</cp:lastModifiedBy>
  <dcterms:created xsi:type="dcterms:W3CDTF">2025-04-05T18:22:37Z</dcterms:created>
  <dcterms:modified xsi:type="dcterms:W3CDTF">2025-04-07T15:51:36Z</dcterms:modified>
</cp:coreProperties>
</file>