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K:\Projects\000MonthlyBillingReports\24-631-00 COMMUNITY STATE BANK HEADQUARTERS\13 June 2025\"/>
    </mc:Choice>
  </mc:AlternateContent>
  <xr:revisionPtr revIDLastSave="0" documentId="13_ncr:1_{D840D4F2-89FE-461C-A597-A957DE8D69E0}" xr6:coauthVersionLast="47" xr6:coauthVersionMax="47" xr10:uidLastSave="{00000000-0000-0000-0000-000000000000}"/>
  <bookViews>
    <workbookView xWindow="-28920" yWindow="-120" windowWidth="29040" windowHeight="15840" xr2:uid="{0FBB9EBB-41B4-4287-819B-E3F1B49BB95A}"/>
  </bookViews>
  <sheets>
    <sheet name="(Tab #2) 23-607-00" sheetId="2" r:id="rId1"/>
    <sheet name="Sheet1" sheetId="1" r:id="rId2"/>
  </sheets>
  <definedNames>
    <definedName name="_xlnm.Print_Area" localSheetId="0">'(Tab #2) 23-607-00'!$A$1:$P$80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7" i="2" l="1"/>
  <c r="I76" i="2"/>
  <c r="K26" i="2"/>
  <c r="M82" i="2"/>
  <c r="K30" i="2"/>
  <c r="K29" i="2"/>
  <c r="K40" i="2"/>
  <c r="K76" i="2" l="1"/>
  <c r="K32" i="2"/>
  <c r="K37" i="2"/>
  <c r="K36" i="2"/>
  <c r="K28" i="2" l="1"/>
  <c r="J77" i="2"/>
  <c r="M76" i="2"/>
  <c r="M73" i="2"/>
  <c r="M6" i="2"/>
  <c r="D70" i="2"/>
  <c r="M10" i="2" l="1"/>
  <c r="U10" i="2"/>
  <c r="U7" i="2"/>
  <c r="U8" i="2"/>
  <c r="U9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6" i="2"/>
  <c r="T77" i="2"/>
  <c r="S77" i="2"/>
  <c r="U77" i="2" l="1"/>
  <c r="C77" i="2"/>
  <c r="D77" i="2"/>
  <c r="E77" i="2"/>
  <c r="I7" i="2"/>
  <c r="H76" i="2"/>
  <c r="F77" i="2"/>
  <c r="H6" i="2"/>
  <c r="I6" i="2" s="1"/>
  <c r="M17" i="2"/>
  <c r="H28" i="2"/>
  <c r="I28" i="2" s="1"/>
  <c r="M7" i="2" l="1"/>
  <c r="M8" i="2"/>
  <c r="M9" i="2"/>
  <c r="M11" i="2"/>
  <c r="M12" i="2"/>
  <c r="M13" i="2"/>
  <c r="M14" i="2"/>
  <c r="M15" i="2"/>
  <c r="P15" i="2" s="1"/>
  <c r="W15" i="2" s="1"/>
  <c r="M16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N34" i="2" s="1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P65" i="2" s="1"/>
  <c r="W65" i="2" s="1"/>
  <c r="M66" i="2"/>
  <c r="M67" i="2"/>
  <c r="M68" i="2"/>
  <c r="M69" i="2"/>
  <c r="M70" i="2"/>
  <c r="M71" i="2"/>
  <c r="M72" i="2"/>
  <c r="M74" i="2"/>
  <c r="M75" i="2"/>
  <c r="M77" i="2" l="1"/>
  <c r="D55" i="2"/>
  <c r="D54" i="2"/>
  <c r="D48" i="2"/>
  <c r="P35" i="2"/>
  <c r="W35" i="2" s="1"/>
  <c r="P37" i="2"/>
  <c r="W37" i="2" s="1"/>
  <c r="P38" i="2"/>
  <c r="W38" i="2" s="1"/>
  <c r="P39" i="2"/>
  <c r="W39" i="2" s="1"/>
  <c r="P40" i="2"/>
  <c r="W40" i="2" s="1"/>
  <c r="P41" i="2"/>
  <c r="W41" i="2" s="1"/>
  <c r="P42" i="2"/>
  <c r="W42" i="2" s="1"/>
  <c r="P45" i="2"/>
  <c r="W45" i="2" s="1"/>
  <c r="P46" i="2"/>
  <c r="W46" i="2" s="1"/>
  <c r="P48" i="2"/>
  <c r="W48" i="2" s="1"/>
  <c r="P49" i="2"/>
  <c r="W49" i="2" s="1"/>
  <c r="P50" i="2"/>
  <c r="W50" i="2" s="1"/>
  <c r="P51" i="2"/>
  <c r="W51" i="2" s="1"/>
  <c r="P52" i="2"/>
  <c r="W52" i="2" s="1"/>
  <c r="P53" i="2"/>
  <c r="W53" i="2" s="1"/>
  <c r="P54" i="2"/>
  <c r="W54" i="2" s="1"/>
  <c r="P57" i="2"/>
  <c r="W57" i="2" s="1"/>
  <c r="P61" i="2"/>
  <c r="W61" i="2" s="1"/>
  <c r="P62" i="2"/>
  <c r="W62" i="2" s="1"/>
  <c r="P64" i="2"/>
  <c r="W64" i="2" s="1"/>
  <c r="P66" i="2"/>
  <c r="W66" i="2" s="1"/>
  <c r="P70" i="2"/>
  <c r="W70" i="2" s="1"/>
  <c r="P72" i="2"/>
  <c r="W72" i="2" s="1"/>
  <c r="P73" i="2"/>
  <c r="W73" i="2" s="1"/>
  <c r="P74" i="2"/>
  <c r="W74" i="2" s="1"/>
  <c r="P75" i="2"/>
  <c r="W75" i="2" s="1"/>
  <c r="P60" i="2"/>
  <c r="W60" i="2" s="1"/>
  <c r="P63" i="2"/>
  <c r="W63" i="2" s="1"/>
  <c r="P76" i="2" l="1"/>
  <c r="W76" i="2" s="1"/>
  <c r="P36" i="2"/>
  <c r="W36" i="2" s="1"/>
  <c r="P59" i="2"/>
  <c r="W59" i="2" s="1"/>
  <c r="P71" i="2"/>
  <c r="W71" i="2" s="1"/>
  <c r="P47" i="2"/>
  <c r="W47" i="2" s="1"/>
  <c r="P58" i="2"/>
  <c r="W58" i="2" s="1"/>
  <c r="P69" i="2"/>
  <c r="W69" i="2" s="1"/>
  <c r="P68" i="2"/>
  <c r="W68" i="2" s="1"/>
  <c r="P44" i="2"/>
  <c r="W44" i="2" s="1"/>
  <c r="P34" i="2"/>
  <c r="W34" i="2" s="1"/>
  <c r="P33" i="2"/>
  <c r="W33" i="2" s="1"/>
  <c r="P56" i="2"/>
  <c r="W56" i="2" s="1"/>
  <c r="P67" i="2"/>
  <c r="W67" i="2" s="1"/>
  <c r="P55" i="2"/>
  <c r="W55" i="2" s="1"/>
  <c r="P43" i="2"/>
  <c r="W43" i="2" s="1"/>
  <c r="D74" i="2"/>
  <c r="D52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I55" i="2" s="1"/>
  <c r="O55" i="2" s="1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I72" i="2" s="1"/>
  <c r="O72" i="2" s="1"/>
  <c r="H73" i="2"/>
  <c r="I73" i="2" s="1"/>
  <c r="O73" i="2" s="1"/>
  <c r="H74" i="2"/>
  <c r="H75" i="2"/>
  <c r="H77" i="2" l="1"/>
  <c r="N55" i="2"/>
  <c r="P24" i="2"/>
  <c r="W24" i="2" s="1"/>
  <c r="P8" i="2"/>
  <c r="W8" i="2" s="1"/>
  <c r="P17" i="2"/>
  <c r="W17" i="2" s="1"/>
  <c r="P11" i="2"/>
  <c r="W11" i="2" s="1"/>
  <c r="P28" i="2" l="1"/>
  <c r="W28" i="2" s="1"/>
  <c r="P6" i="2"/>
  <c r="W6" i="2" s="1"/>
  <c r="I11" i="2"/>
  <c r="N11" i="2" s="1"/>
  <c r="C23" i="2"/>
  <c r="C24" i="2"/>
  <c r="I24" i="2" s="1"/>
  <c r="I71" i="2"/>
  <c r="N71" i="2" s="1"/>
  <c r="I74" i="2"/>
  <c r="C50" i="2"/>
  <c r="C49" i="2"/>
  <c r="C20" i="2"/>
  <c r="P12" i="2"/>
  <c r="W12" i="2" s="1"/>
  <c r="I12" i="2"/>
  <c r="N12" i="2" s="1"/>
  <c r="I9" i="2"/>
  <c r="I47" i="2"/>
  <c r="I48" i="2"/>
  <c r="C44" i="2"/>
  <c r="C32" i="2"/>
  <c r="C41" i="2"/>
  <c r="I42" i="2"/>
  <c r="C40" i="2"/>
  <c r="C53" i="2"/>
  <c r="I39" i="2"/>
  <c r="I56" i="2"/>
  <c r="C38" i="2"/>
  <c r="I38" i="2" s="1"/>
  <c r="C36" i="2"/>
  <c r="I51" i="2"/>
  <c r="I35" i="2"/>
  <c r="I34" i="2"/>
  <c r="C33" i="2"/>
  <c r="I33" i="2" s="1"/>
  <c r="C30" i="2"/>
  <c r="C29" i="2"/>
  <c r="O28" i="2"/>
  <c r="I17" i="2"/>
  <c r="O17" i="2" s="1"/>
  <c r="C27" i="2"/>
  <c r="C25" i="2"/>
  <c r="C18" i="2"/>
  <c r="I8" i="2"/>
  <c r="C6" i="2"/>
  <c r="P13" i="2"/>
  <c r="W13" i="2" s="1"/>
  <c r="P19" i="2"/>
  <c r="W19" i="2" s="1"/>
  <c r="P20" i="2"/>
  <c r="W20" i="2" s="1"/>
  <c r="L77" i="2"/>
  <c r="I10" i="2"/>
  <c r="I13" i="2"/>
  <c r="N13" i="2" s="1"/>
  <c r="I14" i="2"/>
  <c r="N14" i="2" s="1"/>
  <c r="I15" i="2"/>
  <c r="N15" i="2" s="1"/>
  <c r="I16" i="2"/>
  <c r="I19" i="2"/>
  <c r="N19" i="2" s="1"/>
  <c r="I21" i="2"/>
  <c r="I22" i="2"/>
  <c r="I26" i="2"/>
  <c r="O26" i="2" s="1"/>
  <c r="I31" i="2"/>
  <c r="O31" i="2" s="1"/>
  <c r="I37" i="2"/>
  <c r="O37" i="2" s="1"/>
  <c r="I43" i="2"/>
  <c r="O43" i="2" s="1"/>
  <c r="I45" i="2"/>
  <c r="O45" i="2" s="1"/>
  <c r="I46" i="2"/>
  <c r="O46" i="2" s="1"/>
  <c r="I52" i="2"/>
  <c r="O52" i="2" s="1"/>
  <c r="I54" i="2"/>
  <c r="O54" i="2" s="1"/>
  <c r="I57" i="2"/>
  <c r="O57" i="2" s="1"/>
  <c r="I58" i="2"/>
  <c r="O58" i="2" s="1"/>
  <c r="I59" i="2"/>
  <c r="O59" i="2" s="1"/>
  <c r="I60" i="2"/>
  <c r="O60" i="2" s="1"/>
  <c r="I61" i="2"/>
  <c r="O61" i="2" s="1"/>
  <c r="I62" i="2"/>
  <c r="O62" i="2" s="1"/>
  <c r="I63" i="2"/>
  <c r="O63" i="2" s="1"/>
  <c r="I64" i="2"/>
  <c r="O64" i="2" s="1"/>
  <c r="I65" i="2"/>
  <c r="O65" i="2" s="1"/>
  <c r="I66" i="2"/>
  <c r="I67" i="2"/>
  <c r="O67" i="2" s="1"/>
  <c r="I68" i="2"/>
  <c r="O68" i="2" s="1"/>
  <c r="I69" i="2"/>
  <c r="O69" i="2" s="1"/>
  <c r="I70" i="2"/>
  <c r="O70" i="2" s="1"/>
  <c r="I75" i="2"/>
  <c r="K16" i="1"/>
  <c r="K3" i="1"/>
  <c r="K4" i="1"/>
  <c r="K5" i="1"/>
  <c r="K6" i="1"/>
  <c r="K7" i="1"/>
  <c r="K8" i="1"/>
  <c r="K9" i="1"/>
  <c r="K10" i="1"/>
  <c r="K11" i="1"/>
  <c r="K12" i="1"/>
  <c r="K13" i="1"/>
  <c r="K14" i="1"/>
  <c r="K2" i="1"/>
  <c r="I16" i="1"/>
  <c r="G16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E16" i="1"/>
  <c r="O66" i="2" l="1"/>
  <c r="O75" i="2"/>
  <c r="O74" i="2"/>
  <c r="N42" i="2"/>
  <c r="O42" i="2"/>
  <c r="N33" i="2"/>
  <c r="O33" i="2"/>
  <c r="O71" i="2"/>
  <c r="O34" i="2"/>
  <c r="N48" i="2"/>
  <c r="O48" i="2"/>
  <c r="N51" i="2"/>
  <c r="O51" i="2"/>
  <c r="N47" i="2"/>
  <c r="O47" i="2"/>
  <c r="N39" i="2"/>
  <c r="O39" i="2"/>
  <c r="N24" i="2"/>
  <c r="O24" i="2"/>
  <c r="N35" i="2"/>
  <c r="O35" i="2"/>
  <c r="N38" i="2"/>
  <c r="O38" i="2"/>
  <c r="N56" i="2"/>
  <c r="O56" i="2"/>
  <c r="N28" i="2"/>
  <c r="N37" i="2"/>
  <c r="N62" i="2"/>
  <c r="N61" i="2"/>
  <c r="N60" i="2"/>
  <c r="P23" i="2"/>
  <c r="W23" i="2" s="1"/>
  <c r="O8" i="2"/>
  <c r="N8" i="2"/>
  <c r="N75" i="2"/>
  <c r="N59" i="2"/>
  <c r="P22" i="2"/>
  <c r="W22" i="2" s="1"/>
  <c r="N22" i="2"/>
  <c r="N58" i="2"/>
  <c r="P21" i="2"/>
  <c r="W21" i="2" s="1"/>
  <c r="N21" i="2"/>
  <c r="N57" i="2"/>
  <c r="N54" i="2"/>
  <c r="N67" i="2"/>
  <c r="P18" i="2"/>
  <c r="W18" i="2" s="1"/>
  <c r="O11" i="2"/>
  <c r="N52" i="2"/>
  <c r="P16" i="2"/>
  <c r="W16" i="2" s="1"/>
  <c r="N16" i="2"/>
  <c r="N65" i="2"/>
  <c r="P30" i="2"/>
  <c r="W30" i="2" s="1"/>
  <c r="N17" i="2"/>
  <c r="N64" i="2"/>
  <c r="N63" i="2"/>
  <c r="N46" i="2"/>
  <c r="P10" i="2"/>
  <c r="W10" i="2" s="1"/>
  <c r="N10" i="2"/>
  <c r="P25" i="2"/>
  <c r="W25" i="2" s="1"/>
  <c r="N45" i="2"/>
  <c r="N43" i="2"/>
  <c r="P32" i="2"/>
  <c r="W32" i="2" s="1"/>
  <c r="N70" i="2"/>
  <c r="N69" i="2"/>
  <c r="P31" i="2"/>
  <c r="W31" i="2" s="1"/>
  <c r="N31" i="2"/>
  <c r="P7" i="2"/>
  <c r="W7" i="2" s="1"/>
  <c r="N7" i="2"/>
  <c r="P9" i="2"/>
  <c r="W9" i="2" s="1"/>
  <c r="N9" i="2"/>
  <c r="P29" i="2"/>
  <c r="W29" i="2" s="1"/>
  <c r="N68" i="2"/>
  <c r="P27" i="2"/>
  <c r="W27" i="2" s="1"/>
  <c r="P26" i="2"/>
  <c r="W26" i="2" s="1"/>
  <c r="N26" i="2"/>
  <c r="O9" i="2"/>
  <c r="I50" i="2"/>
  <c r="O50" i="2" s="1"/>
  <c r="O12" i="2"/>
  <c r="I44" i="2"/>
  <c r="O44" i="2" s="1"/>
  <c r="I36" i="2"/>
  <c r="O36" i="2" s="1"/>
  <c r="I53" i="2"/>
  <c r="I41" i="2"/>
  <c r="O41" i="2" s="1"/>
  <c r="I40" i="2"/>
  <c r="O40" i="2" s="1"/>
  <c r="I49" i="2"/>
  <c r="O49" i="2" s="1"/>
  <c r="I32" i="2"/>
  <c r="O32" i="2" s="1"/>
  <c r="O7" i="2"/>
  <c r="I27" i="2"/>
  <c r="O27" i="2" s="1"/>
  <c r="I30" i="2"/>
  <c r="O30" i="2" s="1"/>
  <c r="O10" i="2"/>
  <c r="I23" i="2"/>
  <c r="O23" i="2" s="1"/>
  <c r="I20" i="2"/>
  <c r="O22" i="2"/>
  <c r="I18" i="2"/>
  <c r="O18" i="2" s="1"/>
  <c r="I29" i="2"/>
  <c r="O29" i="2" s="1"/>
  <c r="O13" i="2"/>
  <c r="I25" i="2"/>
  <c r="O25" i="2" s="1"/>
  <c r="P14" i="2"/>
  <c r="W14" i="2" s="1"/>
  <c r="N6" i="2"/>
  <c r="O21" i="2"/>
  <c r="O19" i="2"/>
  <c r="O16" i="2"/>
  <c r="O15" i="2"/>
  <c r="O14" i="2"/>
  <c r="O76" i="2" l="1"/>
  <c r="P77" i="2"/>
  <c r="W77" i="2" s="1"/>
  <c r="N53" i="2"/>
  <c r="O53" i="2"/>
  <c r="N18" i="2"/>
  <c r="N40" i="2"/>
  <c r="N30" i="2"/>
  <c r="N25" i="2"/>
  <c r="N29" i="2"/>
  <c r="N32" i="2"/>
  <c r="N23" i="2"/>
  <c r="N50" i="2"/>
  <c r="N36" i="2"/>
  <c r="O20" i="2"/>
  <c r="N20" i="2"/>
  <c r="N41" i="2"/>
  <c r="N44" i="2"/>
  <c r="N27" i="2"/>
  <c r="N49" i="2"/>
  <c r="O6" i="2"/>
  <c r="N76" i="2"/>
  <c r="I77" i="2" l="1"/>
  <c r="N77" i="2" s="1"/>
  <c r="O7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tc={BE00CE1E-4AB1-436F-B905-FA98F2C49F76}</author>
    <author>tc={0B5D863A-5A7E-40A5-8312-C952EAC9CA60}</author>
    <author>tc={FA64AE86-4F2D-4B0C-8BAA-9A34357B5D3F}</author>
    <author>tc={AAA81B82-237E-4095-B1B8-46405D06B1A5}</author>
    <author>tc={C6A3AA4C-1D8A-49E7-865A-EA2BBB3E1BA4}</author>
    <author>tc={7B27F63C-F7BD-46E6-9C8A-31825957AA8D}</author>
    <author>tc={83BB3D88-9DBD-49E6-81F8-08F618237195}</author>
    <author>tc={44DD44CD-A5CC-4DC0-A948-638FDF4488B6}</author>
    <author>tc={7025309F-4CB6-4FA5-8C0C-EB090301A6BE}</author>
    <author>tc={9F0B0152-E5C7-40DE-8CCD-D69E34567ED9}</author>
    <author>tc={1ADB6B12-6F9C-434A-AD2E-9AABB8A8CE1F}</author>
    <author>tc={7B42BAF3-7A74-46FE-8916-84B792A488C2}</author>
    <author>tc={CFCCE93F-F5EB-49D7-8F8C-75DA3D317D83}</author>
    <author>tc={32C64607-C805-4048-BE68-6FF570C7FBCC}</author>
    <author>tc={2FFC9689-CD53-4A63-ABA9-50E266EA41E3}</author>
    <author>tc={A4C813B8-CE93-43F3-9049-EBAC9F70DF32}</author>
    <author>tc={99E05406-8963-4DD2-A6FB-F790C7C8C9AB}</author>
    <author>tc={64CF9024-7E38-4184-85B5-CE1A13905B11}</author>
    <author>tc={8784D3C1-E306-478B-B831-AF1CFCA7F293}</author>
    <author>tc={939CBBBE-341C-4675-B4CA-EF90207D7A0C}</author>
    <author>tc={7D301CD6-3585-4BF4-B921-526062CE331A}</author>
    <author>tc={0F2B6C7E-72AF-4A92-B89C-CCF66CAD3FAC}</author>
    <author>tc={18040CDD-6131-408E-8CA9-B7F924C8C8E4}</author>
    <author>tc={67A392C0-2212-49C1-974A-892AE575C346}</author>
    <author>tc={EA11D21C-730E-48DE-BB56-29B3F8D36C74}</author>
    <author>tc={EE590047-F3A2-4039-BC51-615DEC4233B5}</author>
    <author>tc={F00AFA36-D69A-426F-885D-C6929DD615FB}</author>
    <author>tc={14C152D9-BBE6-4269-9DC1-4BF9532D48BD}</author>
    <author>tc={BCCDC457-EC5F-4BE9-B338-7EEE8B2FA254}</author>
    <author>tc={BDD9CAC9-208C-44B7-AB73-DB316BA857CE}</author>
    <author>tc={36B67E6B-08EB-4DB3-9F4A-E25478C20384}</author>
    <author>tc={731E7444-0501-4704-8DE1-4395DDC2C5FA}</author>
    <author>tc={8C0CF442-DE77-4502-9FCE-BE0725FEDA40}</author>
    <author>tc={E9EC0DEA-63CD-4D18-AA69-844D2D7F9C4D}</author>
    <author>tc={C93E52DF-D934-4C18-8EA1-A46FB821899D}</author>
    <author>tc={D51B0DD5-0246-441F-91A3-989E7E96CC7A}</author>
    <author>tc={BA1B37A6-B164-4232-A950-3F85D2548700}</author>
    <author>tc={AE8473E2-8156-4D2E-8AAA-A2D949B35BA3}</author>
    <author>tc={4C357423-B4D0-4CF2-B400-4BACC1BADD12}</author>
    <author>tc={D1CC03FE-B2CA-467F-9918-DACEDE329F81}</author>
  </authors>
  <commentList>
    <comment ref="B6" authorId="0" shapeId="0" xr:uid="{BE00CE1E-4AB1-436F-B905-FA98F2C49F76}">
      <text>
        <t>[Threaded comment]
Your version of Excel allows you to read this threaded comment; however, any edits to it will get removed if the file is opened in a newer version of Excel. Learn more: https://go.microsoft.com/fwlink/?linkid=870924
Comment:
    1.010.M
1.010.Other</t>
      </text>
    </comment>
    <comment ref="B7" authorId="1" shapeId="0" xr:uid="{0B5D863A-5A7E-40A5-8312-C952EAC9CA60}">
      <text>
        <t>[Threaded comment]
Your version of Excel allows you to read this threaded comment; however, any edits to it will get removed if the file is opened in a newer version of Excel. Learn more: https://go.microsoft.com/fwlink/?linkid=870924
Comment:
    1.005.S</t>
      </text>
    </comment>
    <comment ref="B8" authorId="2" shapeId="0" xr:uid="{FA64AE86-4F2D-4B0C-8BAA-9A34357B5D3F}">
      <text>
        <t>[Threaded comment]
Your version of Excel allows you to read this threaded comment; however, any edits to it will get removed if the file is opened in a newer version of Excel. Learn more: https://go.microsoft.com/fwlink/?linkid=870924
Comment:
    1.012.M</t>
      </text>
    </comment>
    <comment ref="B9" authorId="3" shapeId="0" xr:uid="{AAA81B82-237E-4095-B1B8-46405D06B1A5}">
      <text>
        <t>[Threaded comment]
Your version of Excel allows you to read this threaded comment; however, any edits to it will get removed if the file is opened in a newer version of Excel. Learn more: https://go.microsoft.com/fwlink/?linkid=870924
Comment:
    1.015.L</t>
      </text>
    </comment>
    <comment ref="B10" authorId="4" shapeId="0" xr:uid="{C6A3AA4C-1D8A-49E7-865A-EA2BBB3E1BA4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1.020.L</t>
      </text>
    </comment>
    <comment ref="B11" authorId="5" shapeId="0" xr:uid="{7B27F63C-F7BD-46E6-9C8A-31825957AA8D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1.021.L</t>
      </text>
    </comment>
    <comment ref="B12" authorId="6" shapeId="0" xr:uid="{83BB3D88-9DBD-49E6-81F8-08F618237195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1.022.L</t>
      </text>
    </comment>
    <comment ref="B13" authorId="7" shapeId="0" xr:uid="{44DD44CD-A5CC-4DC0-A948-638FDF4488B6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1.025.L</t>
      </text>
    </comment>
    <comment ref="B14" authorId="8" shapeId="0" xr:uid="{7025309F-4CB6-4FA5-8C0C-EB090301A6BE}">
      <text>
        <t>[Threaded comment]
Your version of Excel allows you to read this threaded comment; however, any edits to it will get removed if the file is opened in a newer version of Excel. Learn more: https://go.microsoft.com/fwlink/?linkid=870924
Comment:
    1.026.L</t>
      </text>
    </comment>
    <comment ref="B15" authorId="9" shapeId="0" xr:uid="{9F0B0152-E5C7-40DE-8CCD-D69E34567ED9}">
      <text>
        <t>[Threaded comment]
Your version of Excel allows you to read this threaded comment; however, any edits to it will get removed if the file is opened in a newer version of Excel. Learn more: https://go.microsoft.com/fwlink/?linkid=870924
Comment:
    1.030.L</t>
      </text>
    </comment>
    <comment ref="B16" authorId="10" shapeId="0" xr:uid="{1ADB6B12-6F9C-434A-AD2E-9AABB8A8CE1F}">
      <text>
        <t>[Threaded comment]
Your version of Excel allows you to read this threaded comment; however, any edits to it will get removed if the file is opened in a newer version of Excel. Learn more: https://go.microsoft.com/fwlink/?linkid=870924
Comment:
    1.035.L</t>
      </text>
    </comment>
    <comment ref="B17" authorId="11" shapeId="0" xr:uid="{7B42BAF3-7A74-46FE-8916-84B792A488C2}">
      <text>
        <t>[Threaded comment]
Your version of Excel allows you to read this threaded comment; however, any edits to it will get removed if the file is opened in a newer version of Excel. Learn more: https://go.microsoft.com/fwlink/?linkid=870924
Comment:
    1.040.L</t>
      </text>
    </comment>
    <comment ref="B18" authorId="12" shapeId="0" xr:uid="{CFCCE93F-F5EB-49D7-8F8C-75DA3D317D83}">
      <text>
        <t>[Threaded comment]
Your version of Excel allows you to read this threaded comment; however, any edits to it will get removed if the file is opened in a newer version of Excel. Learn more: https://go.microsoft.com/fwlink/?linkid=870924
Comment:
    1.041.L
1.041.OE</t>
      </text>
    </comment>
    <comment ref="B19" authorId="13" shapeId="0" xr:uid="{32C64607-C805-4048-BE68-6FF570C7FBCC}">
      <text>
        <t>[Threaded comment]
Your version of Excel allows you to read this threaded comment; however, any edits to it will get removed if the file is opened in a newer version of Excel. Learn more: https://go.microsoft.com/fwlink/?linkid=870924
Comment:
    1.048.S</t>
      </text>
    </comment>
    <comment ref="B20" authorId="14" shapeId="0" xr:uid="{2FFC9689-CD53-4A63-ABA9-50E266EA41E3}">
      <text>
        <t>[Threaded comment]
Your version of Excel allows you to read this threaded comment; however, any edits to it will get removed if the file is opened in a newer version of Excel. Learn more: https://go.microsoft.com/fwlink/?linkid=870924
Comment:
    1.050.M</t>
      </text>
    </comment>
    <comment ref="B21" authorId="15" shapeId="0" xr:uid="{A4C813B8-CE93-43F3-9049-EBAC9F70DF32}">
      <text>
        <t>[Threaded comment]
Your version of Excel allows you to read this threaded comment; however, any edits to it will get removed if the file is opened in a newer version of Excel. Learn more: https://go.microsoft.com/fwlink/?linkid=870924
Comment:
    1.060.S</t>
      </text>
    </comment>
    <comment ref="B22" authorId="16" shapeId="0" xr:uid="{99E05406-8963-4DD2-A6FB-F790C7C8C9AB}">
      <text>
        <t>[Threaded comment]
Your version of Excel allows you to read this threaded comment; however, any edits to it will get removed if the file is opened in a newer version of Excel. Learn more: https://go.microsoft.com/fwlink/?linkid=870924
Comment:
    1.080.S</t>
      </text>
    </comment>
    <comment ref="B23" authorId="17" shapeId="0" xr:uid="{64CF9024-7E38-4184-85B5-CE1A13905B11}">
      <text>
        <t>[Threaded comment]
Your version of Excel allows you to read this threaded comment; however, any edits to it will get removed if the file is opened in a newer version of Excel. Learn more: https://go.microsoft.com/fwlink/?linkid=870924
Comment:
    1.410.L
1.410.M</t>
      </text>
    </comment>
    <comment ref="B24" authorId="18" shapeId="0" xr:uid="{8784D3C1-E306-478B-B831-AF1CFCA7F293}">
      <text>
        <t>[Threaded comment]
Your version of Excel allows you to read this threaded comment; however, any edits to it will get removed if the file is opened in a newer version of Excel. Learn more: https://go.microsoft.com/fwlink/?linkid=870924
Comment:
    1.415.L
1.415.M
3.401.S</t>
      </text>
    </comment>
    <comment ref="B25" authorId="19" shapeId="0" xr:uid="{939CBBBE-341C-4675-B4CA-EF90207D7A0C}">
      <text>
        <t>[Threaded comment]
Your version of Excel allows you to read this threaded comment; however, any edits to it will get removed if the file is opened in a newer version of Excel. Learn more: https://go.microsoft.com/fwlink/?linkid=870924
Comment:
    1.450.M
1.450.S</t>
      </text>
    </comment>
    <comment ref="B26" authorId="20" shapeId="0" xr:uid="{7D301CD6-3585-4BF4-B921-526062CE331A}">
      <text>
        <t>[Threaded comment]
Your version of Excel allows you to read this threaded comment; however, any edits to it will get removed if the file is opened in a newer version of Excel. Learn more: https://go.microsoft.com/fwlink/?linkid=870924
Comment:
    1.461.M</t>
      </text>
    </comment>
    <comment ref="B27" authorId="21" shapeId="0" xr:uid="{0F2B6C7E-72AF-4A92-B89C-CCF66CAD3FAC}">
      <text>
        <t>[Threaded comment]
Your version of Excel allows you to read this threaded comment; however, any edits to it will get removed if the file is opened in a newer version of Excel. Learn more: https://go.microsoft.com/fwlink/?linkid=870924
Comment:
    1.462.M
1.462.OE</t>
      </text>
    </comment>
    <comment ref="B28" authorId="22" shapeId="0" xr:uid="{18040CDD-6131-408E-8CA9-B7F924C8C8E4}">
      <text>
        <t>[Threaded comment]
Your version of Excel allows you to read this threaded comment; however, any edits to it will get removed if the file is opened in a newer version of Excel. Learn more: https://go.microsoft.com/fwlink/?linkid=870924
Comment:
    1.520 L, M
5.120 L</t>
      </text>
    </comment>
    <comment ref="B29" authorId="23" shapeId="0" xr:uid="{67A392C0-2212-49C1-974A-892AE575C346}">
      <text>
        <t>[Threaded comment]
Your version of Excel allows you to read this threaded comment; however, any edits to it will get removed if the file is opened in a newer version of Excel. Learn more: https://go.microsoft.com/fwlink/?linkid=870924
Comment:
    2.230 M, S
2.232 M
2.235 L, M, S</t>
      </text>
    </comment>
    <comment ref="B30" authorId="24" shapeId="0" xr:uid="{EA11D21C-730E-48DE-BB56-29B3F8D36C74}">
      <text>
        <t>[Threaded comment]
Your version of Excel allows you to read this threaded comment; however, any edits to it will get removed if the file is opened in a newer version of Excel. Learn more: https://go.microsoft.com/fwlink/?linkid=870924
Comment:
    2.236 OE
2.239 L, M</t>
      </text>
    </comment>
    <comment ref="B31" authorId="25" shapeId="0" xr:uid="{EE590047-F3A2-4039-BC51-615DEC4233B5}">
      <text>
        <t>[Threaded comment]
Your version of Excel allows you to read this threaded comment; however, any edits to it will get removed if the file is opened in a newer version of Excel. Learn more: https://go.microsoft.com/fwlink/?linkid=870924
Comment:
    2.243 Equipment
2.243 M
2.243 OE</t>
      </text>
    </comment>
    <comment ref="B32" authorId="26" shapeId="0" xr:uid="{F00AFA36-D69A-426F-885D-C6929DD615FB}">
      <text>
        <t>[Threaded comment]
Your version of Excel allows you to read this threaded comment; however, any edits to it will get removed if the file is opened in a newer version of Excel. Learn more: https://go.microsoft.com/fwlink/?linkid=870924
Comment:
    3.110.L
3.210.M
3.210.S
3.310.L
3.310.M
3.310.S
3.318.L
3.318.M
31.231.S
31.350.M</t>
      </text>
    </comment>
    <comment ref="B33" authorId="27" shapeId="0" xr:uid="{14C152D9-BBE6-4269-9DC1-4BF9532D48BD}">
      <text>
        <t>[Threaded comment]
Your version of Excel allows you to read this threaded comment; however, any edits to it will get removed if the file is opened in a newer version of Excel. Learn more: https://go.microsoft.com/fwlink/?linkid=870924
Comment:
    3.390.L
3.390.M</t>
      </text>
    </comment>
    <comment ref="B34" authorId="28" shapeId="0" xr:uid="{BCCDC457-EC5F-4BE9-B338-7EEE8B2FA254}">
      <text>
        <t>[Threaded comment]
Your version of Excel allows you to read this threaded comment; however, any edits to it will get removed if the file is opened in a newer version of Excel. Learn more: https://go.microsoft.com/fwlink/?linkid=870924
Comment:
    3.354.S</t>
      </text>
    </comment>
    <comment ref="B35" authorId="29" shapeId="0" xr:uid="{BDD9CAC9-208C-44B7-AB73-DB316BA857CE}">
      <text>
        <t>[Threaded comment]
Your version of Excel allows you to read this threaded comment; however, any edits to it will get removed if the file is opened in a newer version of Excel. Learn more: https://go.microsoft.com/fwlink/?linkid=870924
Comment:
    4.100.S</t>
      </text>
    </comment>
    <comment ref="B36" authorId="30" shapeId="0" xr:uid="{36B67E6B-08EB-4DB3-9F4A-E25478C20384}">
      <text>
        <t>[Threaded comment]
Your version of Excel allows you to read this threaded comment; however, any edits to it will get removed if the file is opened in a newer version of Excel. Learn more: https://go.microsoft.com/fwlink/?linkid=870924
Comment:
    6.120.L
6.120.M
6.130.L
6.130.M
6.162.L
6.162.M</t>
      </text>
    </comment>
    <comment ref="B37" authorId="31" shapeId="0" xr:uid="{731E7444-0501-4704-8DE1-4395DDC2C5FA}">
      <text>
        <t>[Threaded comment]
Your version of Excel allows you to read this threaded comment; however, any edits to it will get removed if the file is opened in a newer version of Excel. Learn more: https://go.microsoft.com/fwlink/?linkid=870924
Comment:
    6.100.M
6.200.L</t>
      </text>
    </comment>
    <comment ref="B38" authorId="32" shapeId="0" xr:uid="{8C0CF442-DE77-4502-9FCE-BE0725FEDA40}">
      <text>
        <t>[Threaded comment]
Your version of Excel allows you to read this threaded comment; however, any edits to it will get removed if the file is opened in a newer version of Excel. Learn more: https://go.microsoft.com/fwlink/?linkid=870924
Comment:
    7.920.L
7.920.M</t>
      </text>
    </comment>
    <comment ref="B39" authorId="33" shapeId="0" xr:uid="{E9EC0DEA-63CD-4D18-AA69-844D2D7F9C4D}">
      <text>
        <t>[Threaded comment]
Your version of Excel allows you to read this threaded comment; however, any edits to it will get removed if the file is opened in a newer version of Excel. Learn more: https://go.microsoft.com/fwlink/?linkid=870924
Comment:
    8.100.L
8.100.M
8.110.L</t>
      </text>
    </comment>
    <comment ref="B40" authorId="34" shapeId="0" xr:uid="{C93E52DF-D934-4C18-8EA1-A46FB821899D}">
      <text>
        <t>[Threaded comment]
Your version of Excel allows you to read this threaded comment; however, any edits to it will get removed if the file is opened in a newer version of Excel. Learn more: https://go.microsoft.com/fwlink/?linkid=870924
Comment:
    10.100 M
10.150 L, M
10.210 L, M
10.260 L, M
10.350 L, M
10.430 L, M
10.440 L, M
10.510 L, M
10.800 L, M</t>
      </text>
    </comment>
    <comment ref="B41" authorId="35" shapeId="0" xr:uid="{D51B0DD5-0246-441F-91A3-989E7E96CC7A}">
      <text>
        <t>[Threaded comment]
Your version of Excel allows you to read this threaded comment; however, any edits to it will get removed if the file is opened in a newer version of Excel. Learn more: https://go.microsoft.com/fwlink/?linkid=870924
Comment:
    11-105
14-580</t>
      </text>
    </comment>
    <comment ref="B44" authorId="36" shapeId="0" xr:uid="{BA1B37A6-B164-4232-A950-3F85D25487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31-350 L
31-350 S
</t>
      </text>
    </comment>
    <comment ref="B49" authorId="37" shapeId="0" xr:uid="{AE8473E2-8156-4D2E-8AAA-A2D949B35BA3}">
      <text>
        <t>[Threaded comment]
Your version of Excel allows you to read this threaded comment; however, any edits to it will get removed if the file is opened in a newer version of Excel. Learn more: https://go.microsoft.com/fwlink/?linkid=870924
Comment:
    5-100 M
5-500 M</t>
      </text>
    </comment>
    <comment ref="B53" authorId="38" shapeId="0" xr:uid="{4C357423-B4D0-4CF2-B400-4BACC1BADD12}">
      <text>
        <t>[Threaded comment]
Your version of Excel allows you to read this threaded comment; however, any edits to it will get removed if the file is opened in a newer version of Excel. Learn more: https://go.microsoft.com/fwlink/?linkid=870924
Comment:
    8-400
8-800</t>
      </text>
    </comment>
    <comment ref="B62" authorId="39" shapeId="0" xr:uid="{D1CC03FE-B2CA-467F-9918-DACEDE329F81}">
      <text>
        <t>[Threaded comment]
Your version of Excel allows you to read this threaded comment; however, any edits to it will get removed if the file is opened in a newer version of Excel. Learn more: https://go.microsoft.com/fwlink/?linkid=870924
Comment:
    8.100.O
8.700.S</t>
      </text>
    </comment>
  </commentList>
</comments>
</file>

<file path=xl/sharedStrings.xml><?xml version="1.0" encoding="utf-8"?>
<sst xmlns="http://schemas.openxmlformats.org/spreadsheetml/2006/main" count="133" uniqueCount="104">
  <si>
    <t>e</t>
  </si>
  <si>
    <t xml:space="preserve"> </t>
  </si>
  <si>
    <t>GRAHAM CONSTRUCTION COMPANY</t>
  </si>
  <si>
    <t>RETAINAGE</t>
  </si>
  <si>
    <t>GC Total (less fee)</t>
  </si>
  <si>
    <t>SPECIALTIES</t>
  </si>
  <si>
    <t>CONTRACTOR CONTINGENCY</t>
  </si>
  <si>
    <t>ID</t>
  </si>
  <si>
    <t>DESCRIPTION OF WORK</t>
  </si>
  <si>
    <t>SCHEDULE OF VALUES</t>
  </si>
  <si>
    <t>CHANGE ORDERS</t>
  </si>
  <si>
    <t>PREVIOUS  APPLICATION</t>
  </si>
  <si>
    <t>THIS APPLICATION</t>
  </si>
  <si>
    <t>TOTAL COMPLETED AND STORED TO DATE</t>
  </si>
  <si>
    <t>PERCENT COMPLETE</t>
  </si>
  <si>
    <t>BALANCE TO FINISH</t>
  </si>
  <si>
    <t>PRESENTLY STORED MATERIALS</t>
  </si>
  <si>
    <t>Application #:</t>
  </si>
  <si>
    <t>Application Date:</t>
  </si>
  <si>
    <t>Period to:</t>
  </si>
  <si>
    <t>Project Number:</t>
  </si>
  <si>
    <t>Totals</t>
  </si>
  <si>
    <t>NEW SCHEDULE OF VALUES</t>
  </si>
  <si>
    <t>PREVIOUS CHANGE ORDERS</t>
  </si>
  <si>
    <t>PREVIOUS BUDGET MODS</t>
  </si>
  <si>
    <t>NEW BUDGET MODS</t>
  </si>
  <si>
    <t>NEW CHANGE ORDERS</t>
  </si>
  <si>
    <t>Community State Bank Headquarters</t>
  </si>
  <si>
    <t>INSURANCE</t>
  </si>
  <si>
    <t>PRE-CONSTRUCTION</t>
  </si>
  <si>
    <t>SUPERINTENDENT</t>
  </si>
  <si>
    <t>PROJECT ENINGEER</t>
  </si>
  <si>
    <t>PROJECT COORDINATOR</t>
  </si>
  <si>
    <t>PROJECT MANAGER</t>
  </si>
  <si>
    <t>PROJECT EXECUTIVE</t>
  </si>
  <si>
    <t>SUBSISTENCE/TRAVEL</t>
  </si>
  <si>
    <t>OFFICE EXPENSES</t>
  </si>
  <si>
    <t>SURVEYING</t>
  </si>
  <si>
    <t>TESTING &amp; INSPECTIONS</t>
  </si>
  <si>
    <t>SAFETY</t>
  </si>
  <si>
    <t>TEMPORARY UTILITIES</t>
  </si>
  <si>
    <t>CONSTRUCTION FACILITIES</t>
  </si>
  <si>
    <t>SITE STAGING</t>
  </si>
  <si>
    <t>TEMPORARY CONSTRUCTION</t>
  </si>
  <si>
    <t>OWNED EQUIPMENT</t>
  </si>
  <si>
    <t xml:space="preserve">BAKER GROUP - MECHANICAL </t>
  </si>
  <si>
    <t>BAKER GROUP - ELECTRICAL</t>
  </si>
  <si>
    <t>CARPENTER FOREMAN</t>
  </si>
  <si>
    <t>FOOTINGS &amp; FOUNDATIONS</t>
  </si>
  <si>
    <t>ROUGH CARPENTRY</t>
  </si>
  <si>
    <t>MILLWORK INSTALLATION</t>
  </si>
  <si>
    <t>OWNER EQUIPMENT</t>
  </si>
  <si>
    <t>FEE - 2.5%</t>
  </si>
  <si>
    <t>24-631-00</t>
  </si>
  <si>
    <t>DESIGN - CEC AND RESOURCE ENVELOPE</t>
  </si>
  <si>
    <t>BUILDING PERMIT</t>
  </si>
  <si>
    <t>YARD SERVICES</t>
  </si>
  <si>
    <t>JOBSITE CAMERA DOCUMENTATION</t>
  </si>
  <si>
    <t>CLEANING &amp; WASTE MANAGEMENT / LABOR FOREMAN</t>
  </si>
  <si>
    <t>EXPENDABLE TOOLS</t>
  </si>
  <si>
    <t>MISC. CONCRETE</t>
  </si>
  <si>
    <t>FLOOR HARDNER / DENSIFIER</t>
  </si>
  <si>
    <t>MASONRY - AWS</t>
  </si>
  <si>
    <t>INTERIOR CAULKING</t>
  </si>
  <si>
    <t>DOOR/FRAMES/HARDWARE INSTALLATION</t>
  </si>
  <si>
    <t>ATM KIOSK - TMS DESIGN</t>
  </si>
  <si>
    <t>PARKING IMPROVEMENTS</t>
  </si>
  <si>
    <t>INTERIOR CONTINGENCY</t>
  </si>
  <si>
    <t>GENERAL SUPERINTENDENT</t>
  </si>
  <si>
    <t>FINAL CLEAN</t>
  </si>
  <si>
    <t>FIRE ALARM - CEC</t>
  </si>
  <si>
    <t>PRECAST / STEEL CAULKING &amp; GROUTING - SKOLD</t>
  </si>
  <si>
    <t>EXTERIOR WATERPROOFING - MIDWEST CAULKING</t>
  </si>
  <si>
    <t>SPRAY FIREPROOFING - WILKINS INSULATION</t>
  </si>
  <si>
    <t>SECURITY - CEC</t>
  </si>
  <si>
    <t>NETWORK CABLING - CEC</t>
  </si>
  <si>
    <t>ELEVATOR - KONE</t>
  </si>
  <si>
    <t>LANDSCAPING - HVG</t>
  </si>
  <si>
    <t>WINDOW TREATMENTS - HRTLND</t>
  </si>
  <si>
    <t>MILLWORK SUPPLY - MFI</t>
  </si>
  <si>
    <t>FOLDABLE PARTITION - SKOLD</t>
  </si>
  <si>
    <t>OVERHEAD DOORS - SKOLD</t>
  </si>
  <si>
    <t>DOORS/FRAMES/HDW SUPPLY - HRTLND</t>
  </si>
  <si>
    <t>FLOORING/TILE - RALPH N. SMITH</t>
  </si>
  <si>
    <t>PAINTING - 1ST INTERIORS</t>
  </si>
  <si>
    <t>ROOFING - BAILEY ROOFING</t>
  </si>
  <si>
    <t>FIRE SPRINKLER - MW SPRINKLER</t>
  </si>
  <si>
    <t>EXTERIOR FRAMING - HRTLND</t>
  </si>
  <si>
    <t>GLASS/GLAZING/METAL PANELS - AWS</t>
  </si>
  <si>
    <t>STEEL/PRECAST ERECTION - US ERECTORS</t>
  </si>
  <si>
    <t>PRECAST FABRICATION - PDM PRECAST</t>
  </si>
  <si>
    <t>STEEL FABRICATION - PDM METALS</t>
  </si>
  <si>
    <t>SOD / SOG - CORE CONSTRUCTION</t>
  </si>
  <si>
    <t>SITE CONCRETE - NEHRING CONSTRUCTION</t>
  </si>
  <si>
    <t>AGGREGATE PIERS - MICHELS</t>
  </si>
  <si>
    <t>SWPPP - ABSOLUTE GROUP</t>
  </si>
  <si>
    <t>SITEWORK/UTILITIES - MCANINCH</t>
  </si>
  <si>
    <t>Retention billed Dec 2024 $9875</t>
  </si>
  <si>
    <t>Retention Calcs 04.30.25</t>
  </si>
  <si>
    <t>6/30/2025</t>
  </si>
  <si>
    <t>7/1/2025</t>
  </si>
  <si>
    <t>INTERIOR FINISHES - HRTLND</t>
  </si>
  <si>
    <t>24-631-00-013</t>
  </si>
  <si>
    <t>10% Retention on this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</si>
</sst>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$&quot;#,##0_);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\(#,##0.000\)"/>
    <numFmt numFmtId="165" formatCode="0.0%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name val="Geneva"/>
    </font>
    <font>
      <b/>
      <sz val="11"/>
      <name val="Geneva"/>
    </font>
    <font>
      <sz val="7.5"/>
      <color indexed="0"/>
      <name val="Geneva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8" fontId="5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3" applyFont="1" applyAlignment="1" applyProtection="1">
      <alignment horizontal="left"/>
      <protection locked="0"/>
    </xf>
    <xf numFmtId="0" fontId="3" fillId="0" borderId="0" xfId="3" applyFont="1"/>
    <xf numFmtId="14" fontId="3" fillId="0" borderId="0" xfId="3" applyNumberFormat="1" applyFont="1" applyAlignment="1" applyProtection="1">
      <alignment horizontal="left"/>
      <protection locked="0"/>
    </xf>
    <xf numFmtId="0" fontId="3" fillId="0" borderId="0" xfId="3" applyFont="1" applyAlignment="1" applyProtection="1">
      <alignment horizontal="right"/>
      <protection locked="0"/>
    </xf>
    <xf numFmtId="7" fontId="3" fillId="0" borderId="0" xfId="3" applyNumberFormat="1" applyFont="1" applyAlignment="1" applyProtection="1">
      <alignment horizontal="left"/>
      <protection locked="0"/>
    </xf>
    <xf numFmtId="7" fontId="4" fillId="0" borderId="0" xfId="3" applyNumberFormat="1" applyFont="1" applyAlignment="1" applyProtection="1">
      <alignment horizontal="left"/>
      <protection locked="0"/>
    </xf>
    <xf numFmtId="0" fontId="3" fillId="0" borderId="0" xfId="3" applyFont="1" applyAlignment="1">
      <alignment horizontal="center"/>
    </xf>
    <xf numFmtId="0" fontId="3" fillId="0" borderId="0" xfId="3" applyFont="1" applyAlignment="1">
      <alignment horizontal="right"/>
    </xf>
    <xf numFmtId="7" fontId="3" fillId="0" borderId="0" xfId="3" applyNumberFormat="1" applyFont="1" applyAlignment="1" applyProtection="1">
      <alignment horizontal="center"/>
      <protection locked="0"/>
    </xf>
    <xf numFmtId="9" fontId="3" fillId="0" borderId="0" xfId="3" applyNumberFormat="1" applyFont="1" applyAlignment="1" applyProtection="1">
      <alignment horizontal="center"/>
      <protection locked="0"/>
    </xf>
    <xf numFmtId="7" fontId="3" fillId="0" borderId="0" xfId="3" applyNumberFormat="1" applyFont="1"/>
    <xf numFmtId="8" fontId="3" fillId="0" borderId="0" xfId="4" applyFont="1"/>
    <xf numFmtId="8" fontId="3" fillId="0" borderId="0" xfId="4" applyFont="1" applyAlignment="1">
      <alignment horizontal="center"/>
    </xf>
    <xf numFmtId="7" fontId="3" fillId="0" borderId="0" xfId="3" applyNumberFormat="1" applyFont="1" applyAlignment="1">
      <alignment horizontal="center"/>
    </xf>
    <xf numFmtId="5" fontId="3" fillId="0" borderId="0" xfId="3" applyNumberFormat="1" applyFont="1"/>
    <xf numFmtId="5" fontId="3" fillId="0" borderId="0" xfId="3" applyNumberFormat="1" applyFont="1" applyAlignment="1">
      <alignment horizontal="right"/>
    </xf>
    <xf numFmtId="5" fontId="3" fillId="0" borderId="0" xfId="3" applyNumberFormat="1" applyFont="1" applyAlignment="1" applyProtection="1">
      <alignment horizontal="left"/>
      <protection locked="0"/>
    </xf>
    <xf numFmtId="0" fontId="3" fillId="0" borderId="0" xfId="3" applyFont="1" applyAlignment="1">
      <alignment horizontal="center" vertical="center" wrapText="1"/>
    </xf>
    <xf numFmtId="7" fontId="3" fillId="0" borderId="5" xfId="3" applyNumberFormat="1" applyFont="1" applyBorder="1" applyAlignment="1" applyProtection="1">
      <alignment horizontal="center" vertical="center" wrapText="1"/>
      <protection locked="0"/>
    </xf>
    <xf numFmtId="43" fontId="3" fillId="0" borderId="5" xfId="3" applyNumberFormat="1" applyFont="1" applyBorder="1" applyProtection="1">
      <protection locked="0"/>
    </xf>
    <xf numFmtId="165" fontId="3" fillId="0" borderId="5" xfId="2" applyNumberFormat="1" applyFont="1" applyBorder="1" applyAlignment="1" applyProtection="1">
      <protection locked="0"/>
    </xf>
    <xf numFmtId="44" fontId="3" fillId="0" borderId="0" xfId="1" applyFont="1" applyBorder="1"/>
    <xf numFmtId="44" fontId="3" fillId="0" borderId="0" xfId="1" applyFont="1" applyBorder="1" applyAlignment="1" applyProtection="1">
      <alignment horizontal="right"/>
      <protection locked="0"/>
    </xf>
    <xf numFmtId="43" fontId="3" fillId="0" borderId="0" xfId="3" applyNumberFormat="1" applyFont="1"/>
    <xf numFmtId="7" fontId="3" fillId="2" borderId="5" xfId="3" applyNumberFormat="1" applyFont="1" applyFill="1" applyBorder="1" applyAlignment="1" applyProtection="1">
      <alignment horizontal="center" vertical="center" wrapText="1"/>
      <protection locked="0"/>
    </xf>
    <xf numFmtId="43" fontId="3" fillId="2" borderId="5" xfId="3" applyNumberFormat="1" applyFont="1" applyFill="1" applyBorder="1" applyProtection="1">
      <protection locked="0"/>
    </xf>
    <xf numFmtId="164" fontId="3" fillId="0" borderId="5" xfId="3" applyNumberFormat="1" applyFont="1" applyBorder="1" applyAlignment="1" applyProtection="1">
      <alignment horizontal="center"/>
      <protection locked="0"/>
    </xf>
    <xf numFmtId="0" fontId="3" fillId="0" borderId="5" xfId="3" applyFont="1" applyBorder="1" applyAlignment="1" applyProtection="1">
      <alignment horizontal="left"/>
      <protection locked="0"/>
    </xf>
    <xf numFmtId="43" fontId="3" fillId="0" borderId="5" xfId="3" applyNumberFormat="1" applyFont="1" applyBorder="1" applyAlignment="1" applyProtection="1">
      <alignment horizontal="right"/>
      <protection locked="0"/>
    </xf>
    <xf numFmtId="43" fontId="3" fillId="2" borderId="5" xfId="3" applyNumberFormat="1" applyFont="1" applyFill="1" applyBorder="1" applyAlignment="1" applyProtection="1">
      <alignment horizontal="right"/>
      <protection locked="0"/>
    </xf>
    <xf numFmtId="165" fontId="3" fillId="0" borderId="5" xfId="3" applyNumberFormat="1" applyFont="1" applyBorder="1" applyAlignment="1" applyProtection="1">
      <alignment horizontal="right"/>
      <protection locked="0"/>
    </xf>
    <xf numFmtId="0" fontId="3" fillId="0" borderId="5" xfId="3" applyFont="1" applyBorder="1"/>
    <xf numFmtId="44" fontId="3" fillId="0" borderId="0" xfId="1" applyFont="1" applyAlignment="1">
      <alignment horizontal="center"/>
    </xf>
    <xf numFmtId="43" fontId="3" fillId="0" borderId="0" xfId="3" applyNumberFormat="1" applyFont="1" applyAlignment="1" applyProtection="1">
      <alignment horizontal="center"/>
      <protection locked="0"/>
    </xf>
    <xf numFmtId="44" fontId="3" fillId="0" borderId="5" xfId="3" applyNumberFormat="1" applyFont="1" applyBorder="1" applyAlignment="1" applyProtection="1">
      <alignment horizontal="right"/>
      <protection locked="0"/>
    </xf>
    <xf numFmtId="44" fontId="3" fillId="0" borderId="5" xfId="3" applyNumberFormat="1" applyFont="1" applyBorder="1" applyProtection="1">
      <protection locked="0"/>
    </xf>
    <xf numFmtId="44" fontId="3" fillId="0" borderId="0" xfId="3" applyNumberFormat="1" applyFont="1"/>
    <xf numFmtId="7" fontId="4" fillId="3" borderId="0" xfId="3" applyNumberFormat="1" applyFont="1" applyFill="1" applyAlignment="1" applyProtection="1">
      <alignment horizontal="left"/>
      <protection locked="0"/>
    </xf>
    <xf numFmtId="43" fontId="3" fillId="0" borderId="0" xfId="5" applyFont="1"/>
    <xf numFmtId="43" fontId="4" fillId="3" borderId="0" xfId="5" applyFont="1" applyFill="1"/>
    <xf numFmtId="0" fontId="3" fillId="0" borderId="6" xfId="3" applyFont="1" applyBorder="1" applyAlignment="1">
      <alignment horizontal="center" vertical="center" wrapText="1"/>
    </xf>
    <xf numFmtId="43" fontId="3" fillId="0" borderId="6" xfId="5" applyFont="1" applyBorder="1"/>
    <xf numFmtId="43" fontId="4" fillId="3" borderId="6" xfId="5" applyFont="1" applyFill="1" applyBorder="1"/>
    <xf numFmtId="43" fontId="3" fillId="0" borderId="6" xfId="3" applyNumberFormat="1" applyFont="1" applyBorder="1"/>
    <xf numFmtId="43" fontId="3" fillId="0" borderId="0" xfId="4" applyNumberFormat="1" applyFont="1"/>
    <xf numFmtId="44" fontId="3" fillId="0" borderId="0" xfId="1" applyFont="1" applyFill="1"/>
    <xf numFmtId="7" fontId="3" fillId="0" borderId="5" xfId="3" applyNumberFormat="1" applyFont="1" applyBorder="1" applyAlignment="1" applyProtection="1">
      <alignment horizontal="left"/>
      <protection locked="0"/>
    </xf>
    <xf numFmtId="0" fontId="3" fillId="0" borderId="1" xfId="3" applyFont="1" applyBorder="1" applyAlignment="1">
      <alignment horizontal="center"/>
    </xf>
    <xf numFmtId="0" fontId="3" fillId="0" borderId="2" xfId="3" applyFont="1" applyBorder="1" applyAlignment="1">
      <alignment horizontal="center"/>
    </xf>
    <xf numFmtId="44" fontId="3" fillId="0" borderId="3" xfId="1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49" fontId="3" fillId="0" borderId="0" xfId="3" applyNumberFormat="1" applyFont="1" applyAlignment="1" applyProtection="1">
      <alignment horizontal="left"/>
      <protection locked="0"/>
    </xf>
  </cellXfs>
  <cellStyles count="6">
    <cellStyle name="Comma" xfId="5" builtinId="3"/>
    <cellStyle name="Currency" xfId="1" builtinId="4"/>
    <cellStyle name="Currency 2" xfId="4" xr:uid="{F0DCA82D-37CA-4398-917A-4039ED955E8C}"/>
    <cellStyle name="Normal" xfId="0" builtinId="0"/>
    <cellStyle name="Normal 2" xfId="3" xr:uid="{5885AA8D-7E1B-4F07-94AB-9AD5AC017181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arlie Dickinson" id="{944BC49F-B6F9-4DF3-9647-CD2742449301}" userId="S::cdickinson@3gcos.com::adfa6bab-94de-4b31-b0dc-c5cfc4696061" providerId="AD"/>
  <person displayName="Gavin Scroggin" id="{A75D0572-452A-4555-AC84-96D32A8AD6BD}" userId="S::GScroggin@grahamconstruction.com::d29f209f-7c67-458f-90de-1f2f79227185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6-16T19:12:53.24" personId="{944BC49F-B6F9-4DF3-9647-CD2742449301}" id="{BE00CE1E-4AB1-436F-B905-FA98F2C49F76}">
    <text>1.010.M
1.010.Other</text>
  </threadedComment>
  <threadedComment ref="B7" dT="2025-06-16T19:13:07.20" personId="{944BC49F-B6F9-4DF3-9647-CD2742449301}" id="{0B5D863A-5A7E-40A5-8312-C952EAC9CA60}">
    <text>1.005.S</text>
  </threadedComment>
  <threadedComment ref="B8" dT="2025-06-16T19:13:21.08" personId="{944BC49F-B6F9-4DF3-9647-CD2742449301}" id="{FA64AE86-4F2D-4B0C-8BAA-9A34357B5D3F}">
    <text>1.012.M</text>
  </threadedComment>
  <threadedComment ref="B9" dT="2025-06-16T19:13:37.34" personId="{944BC49F-B6F9-4DF3-9647-CD2742449301}" id="{AAA81B82-237E-4095-B1B8-46405D06B1A5}">
    <text>1.015.L</text>
  </threadedComment>
  <threadedComment ref="B10" dT="2025-06-16T19:15:53.95" personId="{944BC49F-B6F9-4DF3-9647-CD2742449301}" id="{C6A3AA4C-1D8A-49E7-865A-EA2BBB3E1BA4}">
    <text>1.020.L</text>
  </threadedComment>
  <threadedComment ref="B11" dT="2025-06-16T19:17:40.56" personId="{944BC49F-B6F9-4DF3-9647-CD2742449301}" id="{7B27F63C-F7BD-46E6-9C8A-31825957AA8D}">
    <text>1.021.L</text>
  </threadedComment>
  <threadedComment ref="B12" dT="2025-06-16T19:18:33.76" personId="{944BC49F-B6F9-4DF3-9647-CD2742449301}" id="{83BB3D88-9DBD-49E6-81F8-08F618237195}">
    <text>1.022.L</text>
  </threadedComment>
  <threadedComment ref="B13" dT="2025-06-16T19:18:51.85" personId="{944BC49F-B6F9-4DF3-9647-CD2742449301}" id="{44DD44CD-A5CC-4DC0-A948-638FDF4488B6}">
    <text>1.025.L</text>
  </threadedComment>
  <threadedComment ref="B14" dT="2025-06-16T19:19:21.44" personId="{944BC49F-B6F9-4DF3-9647-CD2742449301}" id="{7025309F-4CB6-4FA5-8C0C-EB090301A6BE}">
    <text>1.026.L</text>
  </threadedComment>
  <threadedComment ref="B15" dT="2025-06-16T19:19:32.62" personId="{944BC49F-B6F9-4DF3-9647-CD2742449301}" id="{9F0B0152-E5C7-40DE-8CCD-D69E34567ED9}">
    <text>1.030.L</text>
  </threadedComment>
  <threadedComment ref="B16" dT="2025-06-16T19:20:08.83" personId="{944BC49F-B6F9-4DF3-9647-CD2742449301}" id="{1ADB6B12-6F9C-434A-AD2E-9AABB8A8CE1F}">
    <text>1.035.L</text>
  </threadedComment>
  <threadedComment ref="B17" dT="2025-06-16T19:20:48.74" personId="{944BC49F-B6F9-4DF3-9647-CD2742449301}" id="{7B42BAF3-7A74-46FE-8916-84B792A488C2}">
    <text>1.040.L</text>
  </threadedComment>
  <threadedComment ref="B18" dT="2025-06-16T19:21:26.55" personId="{944BC49F-B6F9-4DF3-9647-CD2742449301}" id="{CFCCE93F-F5EB-49D7-8F8C-75DA3D317D83}">
    <text>1.041.L
1.041.OE</text>
  </threadedComment>
  <threadedComment ref="B19" dT="2025-06-16T19:22:12.42" personId="{944BC49F-B6F9-4DF3-9647-CD2742449301}" id="{32C64607-C805-4048-BE68-6FF570C7FBCC}">
    <text>1.048.S</text>
  </threadedComment>
  <threadedComment ref="B20" dT="2025-06-16T19:22:45.65" personId="{944BC49F-B6F9-4DF3-9647-CD2742449301}" id="{2FFC9689-CD53-4A63-ABA9-50E266EA41E3}">
    <text>1.050.M</text>
  </threadedComment>
  <threadedComment ref="B21" dT="2025-06-16T19:30:32.53" personId="{944BC49F-B6F9-4DF3-9647-CD2742449301}" id="{A4C813B8-CE93-43F3-9049-EBAC9F70DF32}">
    <text>1.060.S</text>
  </threadedComment>
  <threadedComment ref="B22" dT="2025-06-16T19:30:53.78" personId="{944BC49F-B6F9-4DF3-9647-CD2742449301}" id="{99E05406-8963-4DD2-A6FB-F790C7C8C9AB}">
    <text>1.080.S</text>
  </threadedComment>
  <threadedComment ref="B23" dT="2025-06-16T19:31:54.94" personId="{944BC49F-B6F9-4DF3-9647-CD2742449301}" id="{64CF9024-7E38-4184-85B5-CE1A13905B11}">
    <text>1.410.L
1.410.M</text>
  </threadedComment>
  <threadedComment ref="B24" dT="2025-06-16T19:40:25.16" personId="{944BC49F-B6F9-4DF3-9647-CD2742449301}" id="{8784D3C1-E306-478B-B831-AF1CFCA7F293}">
    <text>1.415.L
1.415.M
3.401.S</text>
  </threadedComment>
  <threadedComment ref="B25" dT="2025-06-16T19:42:28.37" personId="{944BC49F-B6F9-4DF3-9647-CD2742449301}" id="{939CBBBE-341C-4675-B4CA-EF90207D7A0C}">
    <text>1.450.M
1.450.S</text>
  </threadedComment>
  <threadedComment ref="B26" dT="2025-06-16T19:43:16.90" personId="{944BC49F-B6F9-4DF3-9647-CD2742449301}" id="{7D301CD6-3585-4BF4-B921-526062CE331A}">
    <text>1.461.M</text>
  </threadedComment>
  <threadedComment ref="B27" dT="2025-06-16T19:44:04.33" personId="{944BC49F-B6F9-4DF3-9647-CD2742449301}" id="{0F2B6C7E-72AF-4A92-B89C-CCF66CAD3FAC}">
    <text>1.462.M
1.462.OE</text>
  </threadedComment>
  <threadedComment ref="B28" dT="2025-06-16T19:44:37.46" personId="{944BC49F-B6F9-4DF3-9647-CD2742449301}" id="{18040CDD-6131-408E-8CA9-B7F924C8C8E4}">
    <text>1.520 L, M
5.120 L</text>
  </threadedComment>
  <threadedComment ref="B29" dT="2025-06-16T20:35:51.95" personId="{944BC49F-B6F9-4DF3-9647-CD2742449301}" id="{67A392C0-2212-49C1-974A-892AE575C346}">
    <text>2.230 M, S
2.232 M
2.235 L, M, S</text>
  </threadedComment>
  <threadedComment ref="B30" dT="2025-06-16T20:40:37.25" personId="{944BC49F-B6F9-4DF3-9647-CD2742449301}" id="{EA11D21C-730E-48DE-BB56-29B3F8D36C74}">
    <text>2.236 OE
2.239 L, M</text>
  </threadedComment>
  <threadedComment ref="B31" dT="2025-06-16T20:42:06.05" personId="{944BC49F-B6F9-4DF3-9647-CD2742449301}" id="{EE590047-F3A2-4039-BC51-615DEC4233B5}">
    <text>2.243 Equipment
2.243 M
2.243 OE</text>
  </threadedComment>
  <threadedComment ref="B32" dT="2025-06-16T20:51:59.38" personId="{944BC49F-B6F9-4DF3-9647-CD2742449301}" id="{F00AFA36-D69A-426F-885D-C6929DD615FB}">
    <text>3.110.L
3.210.M
3.210.S
3.310.L
3.310.M
3.310.S
3.318.L
3.318.M
31.231.S
31.350.M</text>
  </threadedComment>
  <threadedComment ref="B33" dT="2025-06-16T20:52:36.58" personId="{944BC49F-B6F9-4DF3-9647-CD2742449301}" id="{14C152D9-BBE6-4269-9DC1-4BF9532D48BD}">
    <text>3.390.L
3.390.M</text>
  </threadedComment>
  <threadedComment ref="B34" dT="2025-06-16T20:53:18.89" personId="{944BC49F-B6F9-4DF3-9647-CD2742449301}" id="{BCCDC457-EC5F-4BE9-B338-7EEE8B2FA254}">
    <text>3.354.S</text>
  </threadedComment>
  <threadedComment ref="B35" dT="2025-06-16T20:53:56.43" personId="{944BC49F-B6F9-4DF3-9647-CD2742449301}" id="{BDD9CAC9-208C-44B7-AB73-DB316BA857CE}">
    <text>4.100.S</text>
  </threadedComment>
  <threadedComment ref="B36" dT="2025-06-16T20:55:52.06" personId="{944BC49F-B6F9-4DF3-9647-CD2742449301}" id="{36B67E6B-08EB-4DB3-9F4A-E25478C20384}">
    <text>6.120.L
6.120.M
6.130.L
6.130.M
6.162.L
6.162.M</text>
  </threadedComment>
  <threadedComment ref="B37" dT="2025-06-16T20:57:00.71" personId="{944BC49F-B6F9-4DF3-9647-CD2742449301}" id="{731E7444-0501-4704-8DE1-4395DDC2C5FA}">
    <text>6.100.M
6.200.L</text>
  </threadedComment>
  <threadedComment ref="B38" dT="2025-06-16T20:58:11.03" personId="{944BC49F-B6F9-4DF3-9647-CD2742449301}" id="{8C0CF442-DE77-4502-9FCE-BE0725FEDA40}">
    <text>7.920.L
7.920.M</text>
  </threadedComment>
  <threadedComment ref="B39" dT="2025-06-16T21:02:59.24" personId="{944BC49F-B6F9-4DF3-9647-CD2742449301}" id="{E9EC0DEA-63CD-4D18-AA69-844D2D7F9C4D}">
    <text>8.100.L
8.100.M
8.110.L</text>
  </threadedComment>
  <threadedComment ref="B40" dT="2025-07-01T20:34:31.77" personId="{944BC49F-B6F9-4DF3-9647-CD2742449301}" id="{C93E52DF-D934-4C18-8EA1-A46FB821899D}">
    <text>10.100 M
10.150 L, M
10.210 L, M
10.260 L, M
10.350 L, M
10.430 L, M
10.440 L, M
10.510 L, M
10.800 L, M</text>
  </threadedComment>
  <threadedComment ref="B41" dT="2024-07-31T14:24:18.65" personId="{A75D0572-452A-4555-AC84-96D32A8AD6BD}" id="{D51B0DD5-0246-441F-91A3-989E7E96CC7A}">
    <text>11-105
14-580</text>
  </threadedComment>
  <threadedComment ref="B44" dT="2024-07-31T14:27:06.42" personId="{A75D0572-452A-4555-AC84-96D32A8AD6BD}" id="{BA1B37A6-B164-4232-A950-3F85D2548700}">
    <text xml:space="preserve">31-350 L
31-350 S
</text>
  </threadedComment>
  <threadedComment ref="B49" dT="2024-07-31T14:17:46.54" personId="{A75D0572-452A-4555-AC84-96D32A8AD6BD}" id="{AE8473E2-8156-4D2E-8AAA-A2D949B35BA3}">
    <text>5-100 M
5-500 M</text>
  </threadedComment>
  <threadedComment ref="B53" dT="2024-07-31T14:21:14.09" personId="{A75D0572-452A-4555-AC84-96D32A8AD6BD}" id="{4C357423-B4D0-4CF2-B400-4BACC1BADD12}">
    <text>8-400
8-800</text>
  </threadedComment>
  <threadedComment ref="B62" dT="2025-06-17T15:22:23.47" personId="{944BC49F-B6F9-4DF3-9647-CD2742449301}" id="{D1CC03FE-B2CA-467F-9918-DACEDE329F81}">
    <text>8.100.O
8.700.S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7A08C-77FB-41B8-BDF0-9636808431C8}">
  <sheetPr>
    <pageSetUpPr fitToPage="1"/>
  </sheetPr>
  <dimension ref="A1:W218"/>
  <sheetViews>
    <sheetView tabSelected="1" topLeftCell="D51" zoomScale="85" zoomScaleNormal="85" workbookViewId="0">
      <selection activeCell="P77" sqref="O77:P77"/>
    </sheetView>
  </sheetViews>
  <sheetFormatPr defaultRowHeight="14.25" outlineLevelCol="1"/>
  <cols>
    <col min="1" max="1" width="9.140625" style="4" bestFit="1" customWidth="1"/>
    <col min="2" max="2" width="72.42578125" style="4" bestFit="1" customWidth="1"/>
    <col min="3" max="3" width="31.5703125" style="4" customWidth="1"/>
    <col min="4" max="7" width="18.7109375" style="4" customWidth="1" outlineLevel="1"/>
    <col min="8" max="8" width="16.42578125" style="4" bestFit="1" customWidth="1"/>
    <col min="9" max="9" width="18.5703125" style="4" bestFit="1" customWidth="1"/>
    <col min="10" max="10" width="16.42578125" style="4" bestFit="1" customWidth="1"/>
    <col min="11" max="11" width="17" style="4" bestFit="1" customWidth="1"/>
    <col min="12" max="12" width="15.140625" style="4" customWidth="1"/>
    <col min="13" max="13" width="20" style="4" customWidth="1"/>
    <col min="14" max="14" width="17.140625" style="9" bestFit="1" customWidth="1"/>
    <col min="15" max="15" width="17" style="10" bestFit="1" customWidth="1"/>
    <col min="16" max="16" width="15.7109375" style="10" bestFit="1" customWidth="1"/>
    <col min="17" max="17" width="16.7109375" style="4" customWidth="1"/>
    <col min="18" max="18" width="33.42578125" style="4" bestFit="1" customWidth="1"/>
    <col min="19" max="19" width="14.7109375" style="4" customWidth="1"/>
    <col min="20" max="20" width="18" style="4" customWidth="1"/>
    <col min="21" max="21" width="15.28515625" style="4" customWidth="1"/>
    <col min="22" max="24" width="12.7109375" style="4" customWidth="1"/>
    <col min="25" max="258" width="9.140625" style="4"/>
    <col min="259" max="259" width="10.140625" style="4" bestFit="1" customWidth="1"/>
    <col min="260" max="260" width="38.140625" style="4" customWidth="1"/>
    <col min="261" max="263" width="16.42578125" style="4" customWidth="1"/>
    <col min="264" max="264" width="18.140625" style="4" customWidth="1"/>
    <col min="265" max="265" width="15.7109375" style="4" customWidth="1"/>
    <col min="266" max="266" width="17.140625" style="4" customWidth="1"/>
    <col min="267" max="267" width="17.7109375" style="4" customWidth="1"/>
    <col min="268" max="268" width="16.7109375" style="4" customWidth="1"/>
    <col min="269" max="269" width="14.85546875" style="4" customWidth="1"/>
    <col min="270" max="270" width="9.42578125" style="4" customWidth="1"/>
    <col min="271" max="271" width="11" style="4" customWidth="1"/>
    <col min="272" max="272" width="13.7109375" style="4" customWidth="1"/>
    <col min="273" max="273" width="16.7109375" style="4" customWidth="1"/>
    <col min="274" max="280" width="12.7109375" style="4" customWidth="1"/>
    <col min="281" max="514" width="9.140625" style="4"/>
    <col min="515" max="515" width="10.140625" style="4" bestFit="1" customWidth="1"/>
    <col min="516" max="516" width="38.140625" style="4" customWidth="1"/>
    <col min="517" max="519" width="16.42578125" style="4" customWidth="1"/>
    <col min="520" max="520" width="18.140625" style="4" customWidth="1"/>
    <col min="521" max="521" width="15.7109375" style="4" customWidth="1"/>
    <col min="522" max="522" width="17.140625" style="4" customWidth="1"/>
    <col min="523" max="523" width="17.7109375" style="4" customWidth="1"/>
    <col min="524" max="524" width="16.7109375" style="4" customWidth="1"/>
    <col min="525" max="525" width="14.85546875" style="4" customWidth="1"/>
    <col min="526" max="526" width="9.42578125" style="4" customWidth="1"/>
    <col min="527" max="527" width="11" style="4" customWidth="1"/>
    <col min="528" max="528" width="13.7109375" style="4" customWidth="1"/>
    <col min="529" max="529" width="16.7109375" style="4" customWidth="1"/>
    <col min="530" max="536" width="12.7109375" style="4" customWidth="1"/>
    <col min="537" max="770" width="9.140625" style="4"/>
    <col min="771" max="771" width="10.140625" style="4" bestFit="1" customWidth="1"/>
    <col min="772" max="772" width="38.140625" style="4" customWidth="1"/>
    <col min="773" max="775" width="16.42578125" style="4" customWidth="1"/>
    <col min="776" max="776" width="18.140625" style="4" customWidth="1"/>
    <col min="777" max="777" width="15.7109375" style="4" customWidth="1"/>
    <col min="778" max="778" width="17.140625" style="4" customWidth="1"/>
    <col min="779" max="779" width="17.7109375" style="4" customWidth="1"/>
    <col min="780" max="780" width="16.7109375" style="4" customWidth="1"/>
    <col min="781" max="781" width="14.85546875" style="4" customWidth="1"/>
    <col min="782" max="782" width="9.42578125" style="4" customWidth="1"/>
    <col min="783" max="783" width="11" style="4" customWidth="1"/>
    <col min="784" max="784" width="13.7109375" style="4" customWidth="1"/>
    <col min="785" max="785" width="16.7109375" style="4" customWidth="1"/>
    <col min="786" max="792" width="12.7109375" style="4" customWidth="1"/>
    <col min="793" max="1026" width="9.140625" style="4"/>
    <col min="1027" max="1027" width="10.140625" style="4" bestFit="1" customWidth="1"/>
    <col min="1028" max="1028" width="38.140625" style="4" customWidth="1"/>
    <col min="1029" max="1031" width="16.42578125" style="4" customWidth="1"/>
    <col min="1032" max="1032" width="18.140625" style="4" customWidth="1"/>
    <col min="1033" max="1033" width="15.7109375" style="4" customWidth="1"/>
    <col min="1034" max="1034" width="17.140625" style="4" customWidth="1"/>
    <col min="1035" max="1035" width="17.7109375" style="4" customWidth="1"/>
    <col min="1036" max="1036" width="16.7109375" style="4" customWidth="1"/>
    <col min="1037" max="1037" width="14.85546875" style="4" customWidth="1"/>
    <col min="1038" max="1038" width="9.42578125" style="4" customWidth="1"/>
    <col min="1039" max="1039" width="11" style="4" customWidth="1"/>
    <col min="1040" max="1040" width="13.7109375" style="4" customWidth="1"/>
    <col min="1041" max="1041" width="16.7109375" style="4" customWidth="1"/>
    <col min="1042" max="1048" width="12.7109375" style="4" customWidth="1"/>
    <col min="1049" max="1282" width="9.140625" style="4"/>
    <col min="1283" max="1283" width="10.140625" style="4" bestFit="1" customWidth="1"/>
    <col min="1284" max="1284" width="38.140625" style="4" customWidth="1"/>
    <col min="1285" max="1287" width="16.42578125" style="4" customWidth="1"/>
    <col min="1288" max="1288" width="18.140625" style="4" customWidth="1"/>
    <col min="1289" max="1289" width="15.7109375" style="4" customWidth="1"/>
    <col min="1290" max="1290" width="17.140625" style="4" customWidth="1"/>
    <col min="1291" max="1291" width="17.7109375" style="4" customWidth="1"/>
    <col min="1292" max="1292" width="16.7109375" style="4" customWidth="1"/>
    <col min="1293" max="1293" width="14.85546875" style="4" customWidth="1"/>
    <col min="1294" max="1294" width="9.42578125" style="4" customWidth="1"/>
    <col min="1295" max="1295" width="11" style="4" customWidth="1"/>
    <col min="1296" max="1296" width="13.7109375" style="4" customWidth="1"/>
    <col min="1297" max="1297" width="16.7109375" style="4" customWidth="1"/>
    <col min="1298" max="1304" width="12.7109375" style="4" customWidth="1"/>
    <col min="1305" max="1538" width="9.140625" style="4"/>
    <col min="1539" max="1539" width="10.140625" style="4" bestFit="1" customWidth="1"/>
    <col min="1540" max="1540" width="38.140625" style="4" customWidth="1"/>
    <col min="1541" max="1543" width="16.42578125" style="4" customWidth="1"/>
    <col min="1544" max="1544" width="18.140625" style="4" customWidth="1"/>
    <col min="1545" max="1545" width="15.7109375" style="4" customWidth="1"/>
    <col min="1546" max="1546" width="17.140625" style="4" customWidth="1"/>
    <col min="1547" max="1547" width="17.7109375" style="4" customWidth="1"/>
    <col min="1548" max="1548" width="16.7109375" style="4" customWidth="1"/>
    <col min="1549" max="1549" width="14.85546875" style="4" customWidth="1"/>
    <col min="1550" max="1550" width="9.42578125" style="4" customWidth="1"/>
    <col min="1551" max="1551" width="11" style="4" customWidth="1"/>
    <col min="1552" max="1552" width="13.7109375" style="4" customWidth="1"/>
    <col min="1553" max="1553" width="16.7109375" style="4" customWidth="1"/>
    <col min="1554" max="1560" width="12.7109375" style="4" customWidth="1"/>
    <col min="1561" max="1794" width="9.140625" style="4"/>
    <col min="1795" max="1795" width="10.140625" style="4" bestFit="1" customWidth="1"/>
    <col min="1796" max="1796" width="38.140625" style="4" customWidth="1"/>
    <col min="1797" max="1799" width="16.42578125" style="4" customWidth="1"/>
    <col min="1800" max="1800" width="18.140625" style="4" customWidth="1"/>
    <col min="1801" max="1801" width="15.7109375" style="4" customWidth="1"/>
    <col min="1802" max="1802" width="17.140625" style="4" customWidth="1"/>
    <col min="1803" max="1803" width="17.7109375" style="4" customWidth="1"/>
    <col min="1804" max="1804" width="16.7109375" style="4" customWidth="1"/>
    <col min="1805" max="1805" width="14.85546875" style="4" customWidth="1"/>
    <col min="1806" max="1806" width="9.42578125" style="4" customWidth="1"/>
    <col min="1807" max="1807" width="11" style="4" customWidth="1"/>
    <col min="1808" max="1808" width="13.7109375" style="4" customWidth="1"/>
    <col min="1809" max="1809" width="16.7109375" style="4" customWidth="1"/>
    <col min="1810" max="1816" width="12.7109375" style="4" customWidth="1"/>
    <col min="1817" max="2050" width="9.140625" style="4"/>
    <col min="2051" max="2051" width="10.140625" style="4" bestFit="1" customWidth="1"/>
    <col min="2052" max="2052" width="38.140625" style="4" customWidth="1"/>
    <col min="2053" max="2055" width="16.42578125" style="4" customWidth="1"/>
    <col min="2056" max="2056" width="18.140625" style="4" customWidth="1"/>
    <col min="2057" max="2057" width="15.7109375" style="4" customWidth="1"/>
    <col min="2058" max="2058" width="17.140625" style="4" customWidth="1"/>
    <col min="2059" max="2059" width="17.7109375" style="4" customWidth="1"/>
    <col min="2060" max="2060" width="16.7109375" style="4" customWidth="1"/>
    <col min="2061" max="2061" width="14.85546875" style="4" customWidth="1"/>
    <col min="2062" max="2062" width="9.42578125" style="4" customWidth="1"/>
    <col min="2063" max="2063" width="11" style="4" customWidth="1"/>
    <col min="2064" max="2064" width="13.7109375" style="4" customWidth="1"/>
    <col min="2065" max="2065" width="16.7109375" style="4" customWidth="1"/>
    <col min="2066" max="2072" width="12.7109375" style="4" customWidth="1"/>
    <col min="2073" max="2306" width="9.140625" style="4"/>
    <col min="2307" max="2307" width="10.140625" style="4" bestFit="1" customWidth="1"/>
    <col min="2308" max="2308" width="38.140625" style="4" customWidth="1"/>
    <col min="2309" max="2311" width="16.42578125" style="4" customWidth="1"/>
    <col min="2312" max="2312" width="18.140625" style="4" customWidth="1"/>
    <col min="2313" max="2313" width="15.7109375" style="4" customWidth="1"/>
    <col min="2314" max="2314" width="17.140625" style="4" customWidth="1"/>
    <col min="2315" max="2315" width="17.7109375" style="4" customWidth="1"/>
    <col min="2316" max="2316" width="16.7109375" style="4" customWidth="1"/>
    <col min="2317" max="2317" width="14.85546875" style="4" customWidth="1"/>
    <col min="2318" max="2318" width="9.42578125" style="4" customWidth="1"/>
    <col min="2319" max="2319" width="11" style="4" customWidth="1"/>
    <col min="2320" max="2320" width="13.7109375" style="4" customWidth="1"/>
    <col min="2321" max="2321" width="16.7109375" style="4" customWidth="1"/>
    <col min="2322" max="2328" width="12.7109375" style="4" customWidth="1"/>
    <col min="2329" max="2562" width="9.140625" style="4"/>
    <col min="2563" max="2563" width="10.140625" style="4" bestFit="1" customWidth="1"/>
    <col min="2564" max="2564" width="38.140625" style="4" customWidth="1"/>
    <col min="2565" max="2567" width="16.42578125" style="4" customWidth="1"/>
    <col min="2568" max="2568" width="18.140625" style="4" customWidth="1"/>
    <col min="2569" max="2569" width="15.7109375" style="4" customWidth="1"/>
    <col min="2570" max="2570" width="17.140625" style="4" customWidth="1"/>
    <col min="2571" max="2571" width="17.7109375" style="4" customWidth="1"/>
    <col min="2572" max="2572" width="16.7109375" style="4" customWidth="1"/>
    <col min="2573" max="2573" width="14.85546875" style="4" customWidth="1"/>
    <col min="2574" max="2574" width="9.42578125" style="4" customWidth="1"/>
    <col min="2575" max="2575" width="11" style="4" customWidth="1"/>
    <col min="2576" max="2576" width="13.7109375" style="4" customWidth="1"/>
    <col min="2577" max="2577" width="16.7109375" style="4" customWidth="1"/>
    <col min="2578" max="2584" width="12.7109375" style="4" customWidth="1"/>
    <col min="2585" max="2818" width="9.140625" style="4"/>
    <col min="2819" max="2819" width="10.140625" style="4" bestFit="1" customWidth="1"/>
    <col min="2820" max="2820" width="38.140625" style="4" customWidth="1"/>
    <col min="2821" max="2823" width="16.42578125" style="4" customWidth="1"/>
    <col min="2824" max="2824" width="18.140625" style="4" customWidth="1"/>
    <col min="2825" max="2825" width="15.7109375" style="4" customWidth="1"/>
    <col min="2826" max="2826" width="17.140625" style="4" customWidth="1"/>
    <col min="2827" max="2827" width="17.7109375" style="4" customWidth="1"/>
    <col min="2828" max="2828" width="16.7109375" style="4" customWidth="1"/>
    <col min="2829" max="2829" width="14.85546875" style="4" customWidth="1"/>
    <col min="2830" max="2830" width="9.42578125" style="4" customWidth="1"/>
    <col min="2831" max="2831" width="11" style="4" customWidth="1"/>
    <col min="2832" max="2832" width="13.7109375" style="4" customWidth="1"/>
    <col min="2833" max="2833" width="16.7109375" style="4" customWidth="1"/>
    <col min="2834" max="2840" width="12.7109375" style="4" customWidth="1"/>
    <col min="2841" max="3074" width="9.140625" style="4"/>
    <col min="3075" max="3075" width="10.140625" style="4" bestFit="1" customWidth="1"/>
    <col min="3076" max="3076" width="38.140625" style="4" customWidth="1"/>
    <col min="3077" max="3079" width="16.42578125" style="4" customWidth="1"/>
    <col min="3080" max="3080" width="18.140625" style="4" customWidth="1"/>
    <col min="3081" max="3081" width="15.7109375" style="4" customWidth="1"/>
    <col min="3082" max="3082" width="17.140625" style="4" customWidth="1"/>
    <col min="3083" max="3083" width="17.7109375" style="4" customWidth="1"/>
    <col min="3084" max="3084" width="16.7109375" style="4" customWidth="1"/>
    <col min="3085" max="3085" width="14.85546875" style="4" customWidth="1"/>
    <col min="3086" max="3086" width="9.42578125" style="4" customWidth="1"/>
    <col min="3087" max="3087" width="11" style="4" customWidth="1"/>
    <col min="3088" max="3088" width="13.7109375" style="4" customWidth="1"/>
    <col min="3089" max="3089" width="16.7109375" style="4" customWidth="1"/>
    <col min="3090" max="3096" width="12.7109375" style="4" customWidth="1"/>
    <col min="3097" max="3330" width="9.140625" style="4"/>
    <col min="3331" max="3331" width="10.140625" style="4" bestFit="1" customWidth="1"/>
    <col min="3332" max="3332" width="38.140625" style="4" customWidth="1"/>
    <col min="3333" max="3335" width="16.42578125" style="4" customWidth="1"/>
    <col min="3336" max="3336" width="18.140625" style="4" customWidth="1"/>
    <col min="3337" max="3337" width="15.7109375" style="4" customWidth="1"/>
    <col min="3338" max="3338" width="17.140625" style="4" customWidth="1"/>
    <col min="3339" max="3339" width="17.7109375" style="4" customWidth="1"/>
    <col min="3340" max="3340" width="16.7109375" style="4" customWidth="1"/>
    <col min="3341" max="3341" width="14.85546875" style="4" customWidth="1"/>
    <col min="3342" max="3342" width="9.42578125" style="4" customWidth="1"/>
    <col min="3343" max="3343" width="11" style="4" customWidth="1"/>
    <col min="3344" max="3344" width="13.7109375" style="4" customWidth="1"/>
    <col min="3345" max="3345" width="16.7109375" style="4" customWidth="1"/>
    <col min="3346" max="3352" width="12.7109375" style="4" customWidth="1"/>
    <col min="3353" max="3586" width="9.140625" style="4"/>
    <col min="3587" max="3587" width="10.140625" style="4" bestFit="1" customWidth="1"/>
    <col min="3588" max="3588" width="38.140625" style="4" customWidth="1"/>
    <col min="3589" max="3591" width="16.42578125" style="4" customWidth="1"/>
    <col min="3592" max="3592" width="18.140625" style="4" customWidth="1"/>
    <col min="3593" max="3593" width="15.7109375" style="4" customWidth="1"/>
    <col min="3594" max="3594" width="17.140625" style="4" customWidth="1"/>
    <col min="3595" max="3595" width="17.7109375" style="4" customWidth="1"/>
    <col min="3596" max="3596" width="16.7109375" style="4" customWidth="1"/>
    <col min="3597" max="3597" width="14.85546875" style="4" customWidth="1"/>
    <col min="3598" max="3598" width="9.42578125" style="4" customWidth="1"/>
    <col min="3599" max="3599" width="11" style="4" customWidth="1"/>
    <col min="3600" max="3600" width="13.7109375" style="4" customWidth="1"/>
    <col min="3601" max="3601" width="16.7109375" style="4" customWidth="1"/>
    <col min="3602" max="3608" width="12.7109375" style="4" customWidth="1"/>
    <col min="3609" max="3842" width="9.140625" style="4"/>
    <col min="3843" max="3843" width="10.140625" style="4" bestFit="1" customWidth="1"/>
    <col min="3844" max="3844" width="38.140625" style="4" customWidth="1"/>
    <col min="3845" max="3847" width="16.42578125" style="4" customWidth="1"/>
    <col min="3848" max="3848" width="18.140625" style="4" customWidth="1"/>
    <col min="3849" max="3849" width="15.7109375" style="4" customWidth="1"/>
    <col min="3850" max="3850" width="17.140625" style="4" customWidth="1"/>
    <col min="3851" max="3851" width="17.7109375" style="4" customWidth="1"/>
    <col min="3852" max="3852" width="16.7109375" style="4" customWidth="1"/>
    <col min="3853" max="3853" width="14.85546875" style="4" customWidth="1"/>
    <col min="3854" max="3854" width="9.42578125" style="4" customWidth="1"/>
    <col min="3855" max="3855" width="11" style="4" customWidth="1"/>
    <col min="3856" max="3856" width="13.7109375" style="4" customWidth="1"/>
    <col min="3857" max="3857" width="16.7109375" style="4" customWidth="1"/>
    <col min="3858" max="3864" width="12.7109375" style="4" customWidth="1"/>
    <col min="3865" max="4098" width="9.140625" style="4"/>
    <col min="4099" max="4099" width="10.140625" style="4" bestFit="1" customWidth="1"/>
    <col min="4100" max="4100" width="38.140625" style="4" customWidth="1"/>
    <col min="4101" max="4103" width="16.42578125" style="4" customWidth="1"/>
    <col min="4104" max="4104" width="18.140625" style="4" customWidth="1"/>
    <col min="4105" max="4105" width="15.7109375" style="4" customWidth="1"/>
    <col min="4106" max="4106" width="17.140625" style="4" customWidth="1"/>
    <col min="4107" max="4107" width="17.7109375" style="4" customWidth="1"/>
    <col min="4108" max="4108" width="16.7109375" style="4" customWidth="1"/>
    <col min="4109" max="4109" width="14.85546875" style="4" customWidth="1"/>
    <col min="4110" max="4110" width="9.42578125" style="4" customWidth="1"/>
    <col min="4111" max="4111" width="11" style="4" customWidth="1"/>
    <col min="4112" max="4112" width="13.7109375" style="4" customWidth="1"/>
    <col min="4113" max="4113" width="16.7109375" style="4" customWidth="1"/>
    <col min="4114" max="4120" width="12.7109375" style="4" customWidth="1"/>
    <col min="4121" max="4354" width="9.140625" style="4"/>
    <col min="4355" max="4355" width="10.140625" style="4" bestFit="1" customWidth="1"/>
    <col min="4356" max="4356" width="38.140625" style="4" customWidth="1"/>
    <col min="4357" max="4359" width="16.42578125" style="4" customWidth="1"/>
    <col min="4360" max="4360" width="18.140625" style="4" customWidth="1"/>
    <col min="4361" max="4361" width="15.7109375" style="4" customWidth="1"/>
    <col min="4362" max="4362" width="17.140625" style="4" customWidth="1"/>
    <col min="4363" max="4363" width="17.7109375" style="4" customWidth="1"/>
    <col min="4364" max="4364" width="16.7109375" style="4" customWidth="1"/>
    <col min="4365" max="4365" width="14.85546875" style="4" customWidth="1"/>
    <col min="4366" max="4366" width="9.42578125" style="4" customWidth="1"/>
    <col min="4367" max="4367" width="11" style="4" customWidth="1"/>
    <col min="4368" max="4368" width="13.7109375" style="4" customWidth="1"/>
    <col min="4369" max="4369" width="16.7109375" style="4" customWidth="1"/>
    <col min="4370" max="4376" width="12.7109375" style="4" customWidth="1"/>
    <col min="4377" max="4610" width="9.140625" style="4"/>
    <col min="4611" max="4611" width="10.140625" style="4" bestFit="1" customWidth="1"/>
    <col min="4612" max="4612" width="38.140625" style="4" customWidth="1"/>
    <col min="4613" max="4615" width="16.42578125" style="4" customWidth="1"/>
    <col min="4616" max="4616" width="18.140625" style="4" customWidth="1"/>
    <col min="4617" max="4617" width="15.7109375" style="4" customWidth="1"/>
    <col min="4618" max="4618" width="17.140625" style="4" customWidth="1"/>
    <col min="4619" max="4619" width="17.7109375" style="4" customWidth="1"/>
    <col min="4620" max="4620" width="16.7109375" style="4" customWidth="1"/>
    <col min="4621" max="4621" width="14.85546875" style="4" customWidth="1"/>
    <col min="4622" max="4622" width="9.42578125" style="4" customWidth="1"/>
    <col min="4623" max="4623" width="11" style="4" customWidth="1"/>
    <col min="4624" max="4624" width="13.7109375" style="4" customWidth="1"/>
    <col min="4625" max="4625" width="16.7109375" style="4" customWidth="1"/>
    <col min="4626" max="4632" width="12.7109375" style="4" customWidth="1"/>
    <col min="4633" max="4866" width="9.140625" style="4"/>
    <col min="4867" max="4867" width="10.140625" style="4" bestFit="1" customWidth="1"/>
    <col min="4868" max="4868" width="38.140625" style="4" customWidth="1"/>
    <col min="4869" max="4871" width="16.42578125" style="4" customWidth="1"/>
    <col min="4872" max="4872" width="18.140625" style="4" customWidth="1"/>
    <col min="4873" max="4873" width="15.7109375" style="4" customWidth="1"/>
    <col min="4874" max="4874" width="17.140625" style="4" customWidth="1"/>
    <col min="4875" max="4875" width="17.7109375" style="4" customWidth="1"/>
    <col min="4876" max="4876" width="16.7109375" style="4" customWidth="1"/>
    <col min="4877" max="4877" width="14.85546875" style="4" customWidth="1"/>
    <col min="4878" max="4878" width="9.42578125" style="4" customWidth="1"/>
    <col min="4879" max="4879" width="11" style="4" customWidth="1"/>
    <col min="4880" max="4880" width="13.7109375" style="4" customWidth="1"/>
    <col min="4881" max="4881" width="16.7109375" style="4" customWidth="1"/>
    <col min="4882" max="4888" width="12.7109375" style="4" customWidth="1"/>
    <col min="4889" max="5122" width="9.140625" style="4"/>
    <col min="5123" max="5123" width="10.140625" style="4" bestFit="1" customWidth="1"/>
    <col min="5124" max="5124" width="38.140625" style="4" customWidth="1"/>
    <col min="5125" max="5127" width="16.42578125" style="4" customWidth="1"/>
    <col min="5128" max="5128" width="18.140625" style="4" customWidth="1"/>
    <col min="5129" max="5129" width="15.7109375" style="4" customWidth="1"/>
    <col min="5130" max="5130" width="17.140625" style="4" customWidth="1"/>
    <col min="5131" max="5131" width="17.7109375" style="4" customWidth="1"/>
    <col min="5132" max="5132" width="16.7109375" style="4" customWidth="1"/>
    <col min="5133" max="5133" width="14.85546875" style="4" customWidth="1"/>
    <col min="5134" max="5134" width="9.42578125" style="4" customWidth="1"/>
    <col min="5135" max="5135" width="11" style="4" customWidth="1"/>
    <col min="5136" max="5136" width="13.7109375" style="4" customWidth="1"/>
    <col min="5137" max="5137" width="16.7109375" style="4" customWidth="1"/>
    <col min="5138" max="5144" width="12.7109375" style="4" customWidth="1"/>
    <col min="5145" max="5378" width="9.140625" style="4"/>
    <col min="5379" max="5379" width="10.140625" style="4" bestFit="1" customWidth="1"/>
    <col min="5380" max="5380" width="38.140625" style="4" customWidth="1"/>
    <col min="5381" max="5383" width="16.42578125" style="4" customWidth="1"/>
    <col min="5384" max="5384" width="18.140625" style="4" customWidth="1"/>
    <col min="5385" max="5385" width="15.7109375" style="4" customWidth="1"/>
    <col min="5386" max="5386" width="17.140625" style="4" customWidth="1"/>
    <col min="5387" max="5387" width="17.7109375" style="4" customWidth="1"/>
    <col min="5388" max="5388" width="16.7109375" style="4" customWidth="1"/>
    <col min="5389" max="5389" width="14.85546875" style="4" customWidth="1"/>
    <col min="5390" max="5390" width="9.42578125" style="4" customWidth="1"/>
    <col min="5391" max="5391" width="11" style="4" customWidth="1"/>
    <col min="5392" max="5392" width="13.7109375" style="4" customWidth="1"/>
    <col min="5393" max="5393" width="16.7109375" style="4" customWidth="1"/>
    <col min="5394" max="5400" width="12.7109375" style="4" customWidth="1"/>
    <col min="5401" max="5634" width="9.140625" style="4"/>
    <col min="5635" max="5635" width="10.140625" style="4" bestFit="1" customWidth="1"/>
    <col min="5636" max="5636" width="38.140625" style="4" customWidth="1"/>
    <col min="5637" max="5639" width="16.42578125" style="4" customWidth="1"/>
    <col min="5640" max="5640" width="18.140625" style="4" customWidth="1"/>
    <col min="5641" max="5641" width="15.7109375" style="4" customWidth="1"/>
    <col min="5642" max="5642" width="17.140625" style="4" customWidth="1"/>
    <col min="5643" max="5643" width="17.7109375" style="4" customWidth="1"/>
    <col min="5644" max="5644" width="16.7109375" style="4" customWidth="1"/>
    <col min="5645" max="5645" width="14.85546875" style="4" customWidth="1"/>
    <col min="5646" max="5646" width="9.42578125" style="4" customWidth="1"/>
    <col min="5647" max="5647" width="11" style="4" customWidth="1"/>
    <col min="5648" max="5648" width="13.7109375" style="4" customWidth="1"/>
    <col min="5649" max="5649" width="16.7109375" style="4" customWidth="1"/>
    <col min="5650" max="5656" width="12.7109375" style="4" customWidth="1"/>
    <col min="5657" max="5890" width="9.140625" style="4"/>
    <col min="5891" max="5891" width="10.140625" style="4" bestFit="1" customWidth="1"/>
    <col min="5892" max="5892" width="38.140625" style="4" customWidth="1"/>
    <col min="5893" max="5895" width="16.42578125" style="4" customWidth="1"/>
    <col min="5896" max="5896" width="18.140625" style="4" customWidth="1"/>
    <col min="5897" max="5897" width="15.7109375" style="4" customWidth="1"/>
    <col min="5898" max="5898" width="17.140625" style="4" customWidth="1"/>
    <col min="5899" max="5899" width="17.7109375" style="4" customWidth="1"/>
    <col min="5900" max="5900" width="16.7109375" style="4" customWidth="1"/>
    <col min="5901" max="5901" width="14.85546875" style="4" customWidth="1"/>
    <col min="5902" max="5902" width="9.42578125" style="4" customWidth="1"/>
    <col min="5903" max="5903" width="11" style="4" customWidth="1"/>
    <col min="5904" max="5904" width="13.7109375" style="4" customWidth="1"/>
    <col min="5905" max="5905" width="16.7109375" style="4" customWidth="1"/>
    <col min="5906" max="5912" width="12.7109375" style="4" customWidth="1"/>
    <col min="5913" max="6146" width="9.140625" style="4"/>
    <col min="6147" max="6147" width="10.140625" style="4" bestFit="1" customWidth="1"/>
    <col min="6148" max="6148" width="38.140625" style="4" customWidth="1"/>
    <col min="6149" max="6151" width="16.42578125" style="4" customWidth="1"/>
    <col min="6152" max="6152" width="18.140625" style="4" customWidth="1"/>
    <col min="6153" max="6153" width="15.7109375" style="4" customWidth="1"/>
    <col min="6154" max="6154" width="17.140625" style="4" customWidth="1"/>
    <col min="6155" max="6155" width="17.7109375" style="4" customWidth="1"/>
    <col min="6156" max="6156" width="16.7109375" style="4" customWidth="1"/>
    <col min="6157" max="6157" width="14.85546875" style="4" customWidth="1"/>
    <col min="6158" max="6158" width="9.42578125" style="4" customWidth="1"/>
    <col min="6159" max="6159" width="11" style="4" customWidth="1"/>
    <col min="6160" max="6160" width="13.7109375" style="4" customWidth="1"/>
    <col min="6161" max="6161" width="16.7109375" style="4" customWidth="1"/>
    <col min="6162" max="6168" width="12.7109375" style="4" customWidth="1"/>
    <col min="6169" max="6402" width="9.140625" style="4"/>
    <col min="6403" max="6403" width="10.140625" style="4" bestFit="1" customWidth="1"/>
    <col min="6404" max="6404" width="38.140625" style="4" customWidth="1"/>
    <col min="6405" max="6407" width="16.42578125" style="4" customWidth="1"/>
    <col min="6408" max="6408" width="18.140625" style="4" customWidth="1"/>
    <col min="6409" max="6409" width="15.7109375" style="4" customWidth="1"/>
    <col min="6410" max="6410" width="17.140625" style="4" customWidth="1"/>
    <col min="6411" max="6411" width="17.7109375" style="4" customWidth="1"/>
    <col min="6412" max="6412" width="16.7109375" style="4" customWidth="1"/>
    <col min="6413" max="6413" width="14.85546875" style="4" customWidth="1"/>
    <col min="6414" max="6414" width="9.42578125" style="4" customWidth="1"/>
    <col min="6415" max="6415" width="11" style="4" customWidth="1"/>
    <col min="6416" max="6416" width="13.7109375" style="4" customWidth="1"/>
    <col min="6417" max="6417" width="16.7109375" style="4" customWidth="1"/>
    <col min="6418" max="6424" width="12.7109375" style="4" customWidth="1"/>
    <col min="6425" max="6658" width="9.140625" style="4"/>
    <col min="6659" max="6659" width="10.140625" style="4" bestFit="1" customWidth="1"/>
    <col min="6660" max="6660" width="38.140625" style="4" customWidth="1"/>
    <col min="6661" max="6663" width="16.42578125" style="4" customWidth="1"/>
    <col min="6664" max="6664" width="18.140625" style="4" customWidth="1"/>
    <col min="6665" max="6665" width="15.7109375" style="4" customWidth="1"/>
    <col min="6666" max="6666" width="17.140625" style="4" customWidth="1"/>
    <col min="6667" max="6667" width="17.7109375" style="4" customWidth="1"/>
    <col min="6668" max="6668" width="16.7109375" style="4" customWidth="1"/>
    <col min="6669" max="6669" width="14.85546875" style="4" customWidth="1"/>
    <col min="6670" max="6670" width="9.42578125" style="4" customWidth="1"/>
    <col min="6671" max="6671" width="11" style="4" customWidth="1"/>
    <col min="6672" max="6672" width="13.7109375" style="4" customWidth="1"/>
    <col min="6673" max="6673" width="16.7109375" style="4" customWidth="1"/>
    <col min="6674" max="6680" width="12.7109375" style="4" customWidth="1"/>
    <col min="6681" max="6914" width="9.140625" style="4"/>
    <col min="6915" max="6915" width="10.140625" style="4" bestFit="1" customWidth="1"/>
    <col min="6916" max="6916" width="38.140625" style="4" customWidth="1"/>
    <col min="6917" max="6919" width="16.42578125" style="4" customWidth="1"/>
    <col min="6920" max="6920" width="18.140625" style="4" customWidth="1"/>
    <col min="6921" max="6921" width="15.7109375" style="4" customWidth="1"/>
    <col min="6922" max="6922" width="17.140625" style="4" customWidth="1"/>
    <col min="6923" max="6923" width="17.7109375" style="4" customWidth="1"/>
    <col min="6924" max="6924" width="16.7109375" style="4" customWidth="1"/>
    <col min="6925" max="6925" width="14.85546875" style="4" customWidth="1"/>
    <col min="6926" max="6926" width="9.42578125" style="4" customWidth="1"/>
    <col min="6927" max="6927" width="11" style="4" customWidth="1"/>
    <col min="6928" max="6928" width="13.7109375" style="4" customWidth="1"/>
    <col min="6929" max="6929" width="16.7109375" style="4" customWidth="1"/>
    <col min="6930" max="6936" width="12.7109375" style="4" customWidth="1"/>
    <col min="6937" max="7170" width="9.140625" style="4"/>
    <col min="7171" max="7171" width="10.140625" style="4" bestFit="1" customWidth="1"/>
    <col min="7172" max="7172" width="38.140625" style="4" customWidth="1"/>
    <col min="7173" max="7175" width="16.42578125" style="4" customWidth="1"/>
    <col min="7176" max="7176" width="18.140625" style="4" customWidth="1"/>
    <col min="7177" max="7177" width="15.7109375" style="4" customWidth="1"/>
    <col min="7178" max="7178" width="17.140625" style="4" customWidth="1"/>
    <col min="7179" max="7179" width="17.7109375" style="4" customWidth="1"/>
    <col min="7180" max="7180" width="16.7109375" style="4" customWidth="1"/>
    <col min="7181" max="7181" width="14.85546875" style="4" customWidth="1"/>
    <col min="7182" max="7182" width="9.42578125" style="4" customWidth="1"/>
    <col min="7183" max="7183" width="11" style="4" customWidth="1"/>
    <col min="7184" max="7184" width="13.7109375" style="4" customWidth="1"/>
    <col min="7185" max="7185" width="16.7109375" style="4" customWidth="1"/>
    <col min="7186" max="7192" width="12.7109375" style="4" customWidth="1"/>
    <col min="7193" max="7426" width="9.140625" style="4"/>
    <col min="7427" max="7427" width="10.140625" style="4" bestFit="1" customWidth="1"/>
    <col min="7428" max="7428" width="38.140625" style="4" customWidth="1"/>
    <col min="7429" max="7431" width="16.42578125" style="4" customWidth="1"/>
    <col min="7432" max="7432" width="18.140625" style="4" customWidth="1"/>
    <col min="7433" max="7433" width="15.7109375" style="4" customWidth="1"/>
    <col min="7434" max="7434" width="17.140625" style="4" customWidth="1"/>
    <col min="7435" max="7435" width="17.7109375" style="4" customWidth="1"/>
    <col min="7436" max="7436" width="16.7109375" style="4" customWidth="1"/>
    <col min="7437" max="7437" width="14.85546875" style="4" customWidth="1"/>
    <col min="7438" max="7438" width="9.42578125" style="4" customWidth="1"/>
    <col min="7439" max="7439" width="11" style="4" customWidth="1"/>
    <col min="7440" max="7440" width="13.7109375" style="4" customWidth="1"/>
    <col min="7441" max="7441" width="16.7109375" style="4" customWidth="1"/>
    <col min="7442" max="7448" width="12.7109375" style="4" customWidth="1"/>
    <col min="7449" max="7682" width="9.140625" style="4"/>
    <col min="7683" max="7683" width="10.140625" style="4" bestFit="1" customWidth="1"/>
    <col min="7684" max="7684" width="38.140625" style="4" customWidth="1"/>
    <col min="7685" max="7687" width="16.42578125" style="4" customWidth="1"/>
    <col min="7688" max="7688" width="18.140625" style="4" customWidth="1"/>
    <col min="7689" max="7689" width="15.7109375" style="4" customWidth="1"/>
    <col min="7690" max="7690" width="17.140625" style="4" customWidth="1"/>
    <col min="7691" max="7691" width="17.7109375" style="4" customWidth="1"/>
    <col min="7692" max="7692" width="16.7109375" style="4" customWidth="1"/>
    <col min="7693" max="7693" width="14.85546875" style="4" customWidth="1"/>
    <col min="7694" max="7694" width="9.42578125" style="4" customWidth="1"/>
    <col min="7695" max="7695" width="11" style="4" customWidth="1"/>
    <col min="7696" max="7696" width="13.7109375" style="4" customWidth="1"/>
    <col min="7697" max="7697" width="16.7109375" style="4" customWidth="1"/>
    <col min="7698" max="7704" width="12.7109375" style="4" customWidth="1"/>
    <col min="7705" max="7938" width="9.140625" style="4"/>
    <col min="7939" max="7939" width="10.140625" style="4" bestFit="1" customWidth="1"/>
    <col min="7940" max="7940" width="38.140625" style="4" customWidth="1"/>
    <col min="7941" max="7943" width="16.42578125" style="4" customWidth="1"/>
    <col min="7944" max="7944" width="18.140625" style="4" customWidth="1"/>
    <col min="7945" max="7945" width="15.7109375" style="4" customWidth="1"/>
    <col min="7946" max="7946" width="17.140625" style="4" customWidth="1"/>
    <col min="7947" max="7947" width="17.7109375" style="4" customWidth="1"/>
    <col min="7948" max="7948" width="16.7109375" style="4" customWidth="1"/>
    <col min="7949" max="7949" width="14.85546875" style="4" customWidth="1"/>
    <col min="7950" max="7950" width="9.42578125" style="4" customWidth="1"/>
    <col min="7951" max="7951" width="11" style="4" customWidth="1"/>
    <col min="7952" max="7952" width="13.7109375" style="4" customWidth="1"/>
    <col min="7953" max="7953" width="16.7109375" style="4" customWidth="1"/>
    <col min="7954" max="7960" width="12.7109375" style="4" customWidth="1"/>
    <col min="7961" max="8194" width="9.140625" style="4"/>
    <col min="8195" max="8195" width="10.140625" style="4" bestFit="1" customWidth="1"/>
    <col min="8196" max="8196" width="38.140625" style="4" customWidth="1"/>
    <col min="8197" max="8199" width="16.42578125" style="4" customWidth="1"/>
    <col min="8200" max="8200" width="18.140625" style="4" customWidth="1"/>
    <col min="8201" max="8201" width="15.7109375" style="4" customWidth="1"/>
    <col min="8202" max="8202" width="17.140625" style="4" customWidth="1"/>
    <col min="8203" max="8203" width="17.7109375" style="4" customWidth="1"/>
    <col min="8204" max="8204" width="16.7109375" style="4" customWidth="1"/>
    <col min="8205" max="8205" width="14.85546875" style="4" customWidth="1"/>
    <col min="8206" max="8206" width="9.42578125" style="4" customWidth="1"/>
    <col min="8207" max="8207" width="11" style="4" customWidth="1"/>
    <col min="8208" max="8208" width="13.7109375" style="4" customWidth="1"/>
    <col min="8209" max="8209" width="16.7109375" style="4" customWidth="1"/>
    <col min="8210" max="8216" width="12.7109375" style="4" customWidth="1"/>
    <col min="8217" max="8450" width="9.140625" style="4"/>
    <col min="8451" max="8451" width="10.140625" style="4" bestFit="1" customWidth="1"/>
    <col min="8452" max="8452" width="38.140625" style="4" customWidth="1"/>
    <col min="8453" max="8455" width="16.42578125" style="4" customWidth="1"/>
    <col min="8456" max="8456" width="18.140625" style="4" customWidth="1"/>
    <col min="8457" max="8457" width="15.7109375" style="4" customWidth="1"/>
    <col min="8458" max="8458" width="17.140625" style="4" customWidth="1"/>
    <col min="8459" max="8459" width="17.7109375" style="4" customWidth="1"/>
    <col min="8460" max="8460" width="16.7109375" style="4" customWidth="1"/>
    <col min="8461" max="8461" width="14.85546875" style="4" customWidth="1"/>
    <col min="8462" max="8462" width="9.42578125" style="4" customWidth="1"/>
    <col min="8463" max="8463" width="11" style="4" customWidth="1"/>
    <col min="8464" max="8464" width="13.7109375" style="4" customWidth="1"/>
    <col min="8465" max="8465" width="16.7109375" style="4" customWidth="1"/>
    <col min="8466" max="8472" width="12.7109375" style="4" customWidth="1"/>
    <col min="8473" max="8706" width="9.140625" style="4"/>
    <col min="8707" max="8707" width="10.140625" style="4" bestFit="1" customWidth="1"/>
    <col min="8708" max="8708" width="38.140625" style="4" customWidth="1"/>
    <col min="8709" max="8711" width="16.42578125" style="4" customWidth="1"/>
    <col min="8712" max="8712" width="18.140625" style="4" customWidth="1"/>
    <col min="8713" max="8713" width="15.7109375" style="4" customWidth="1"/>
    <col min="8714" max="8714" width="17.140625" style="4" customWidth="1"/>
    <col min="8715" max="8715" width="17.7109375" style="4" customWidth="1"/>
    <col min="8716" max="8716" width="16.7109375" style="4" customWidth="1"/>
    <col min="8717" max="8717" width="14.85546875" style="4" customWidth="1"/>
    <col min="8718" max="8718" width="9.42578125" style="4" customWidth="1"/>
    <col min="8719" max="8719" width="11" style="4" customWidth="1"/>
    <col min="8720" max="8720" width="13.7109375" style="4" customWidth="1"/>
    <col min="8721" max="8721" width="16.7109375" style="4" customWidth="1"/>
    <col min="8722" max="8728" width="12.7109375" style="4" customWidth="1"/>
    <col min="8729" max="8962" width="9.140625" style="4"/>
    <col min="8963" max="8963" width="10.140625" style="4" bestFit="1" customWidth="1"/>
    <col min="8964" max="8964" width="38.140625" style="4" customWidth="1"/>
    <col min="8965" max="8967" width="16.42578125" style="4" customWidth="1"/>
    <col min="8968" max="8968" width="18.140625" style="4" customWidth="1"/>
    <col min="8969" max="8969" width="15.7109375" style="4" customWidth="1"/>
    <col min="8970" max="8970" width="17.140625" style="4" customWidth="1"/>
    <col min="8971" max="8971" width="17.7109375" style="4" customWidth="1"/>
    <col min="8972" max="8972" width="16.7109375" style="4" customWidth="1"/>
    <col min="8973" max="8973" width="14.85546875" style="4" customWidth="1"/>
    <col min="8974" max="8974" width="9.42578125" style="4" customWidth="1"/>
    <col min="8975" max="8975" width="11" style="4" customWidth="1"/>
    <col min="8976" max="8976" width="13.7109375" style="4" customWidth="1"/>
    <col min="8977" max="8977" width="16.7109375" style="4" customWidth="1"/>
    <col min="8978" max="8984" width="12.7109375" style="4" customWidth="1"/>
    <col min="8985" max="9218" width="9.140625" style="4"/>
    <col min="9219" max="9219" width="10.140625" style="4" bestFit="1" customWidth="1"/>
    <col min="9220" max="9220" width="38.140625" style="4" customWidth="1"/>
    <col min="9221" max="9223" width="16.42578125" style="4" customWidth="1"/>
    <col min="9224" max="9224" width="18.140625" style="4" customWidth="1"/>
    <col min="9225" max="9225" width="15.7109375" style="4" customWidth="1"/>
    <col min="9226" max="9226" width="17.140625" style="4" customWidth="1"/>
    <col min="9227" max="9227" width="17.7109375" style="4" customWidth="1"/>
    <col min="9228" max="9228" width="16.7109375" style="4" customWidth="1"/>
    <col min="9229" max="9229" width="14.85546875" style="4" customWidth="1"/>
    <col min="9230" max="9230" width="9.42578125" style="4" customWidth="1"/>
    <col min="9231" max="9231" width="11" style="4" customWidth="1"/>
    <col min="9232" max="9232" width="13.7109375" style="4" customWidth="1"/>
    <col min="9233" max="9233" width="16.7109375" style="4" customWidth="1"/>
    <col min="9234" max="9240" width="12.7109375" style="4" customWidth="1"/>
    <col min="9241" max="9474" width="9.140625" style="4"/>
    <col min="9475" max="9475" width="10.140625" style="4" bestFit="1" customWidth="1"/>
    <col min="9476" max="9476" width="38.140625" style="4" customWidth="1"/>
    <col min="9477" max="9479" width="16.42578125" style="4" customWidth="1"/>
    <col min="9480" max="9480" width="18.140625" style="4" customWidth="1"/>
    <col min="9481" max="9481" width="15.7109375" style="4" customWidth="1"/>
    <col min="9482" max="9482" width="17.140625" style="4" customWidth="1"/>
    <col min="9483" max="9483" width="17.7109375" style="4" customWidth="1"/>
    <col min="9484" max="9484" width="16.7109375" style="4" customWidth="1"/>
    <col min="9485" max="9485" width="14.85546875" style="4" customWidth="1"/>
    <col min="9486" max="9486" width="9.42578125" style="4" customWidth="1"/>
    <col min="9487" max="9487" width="11" style="4" customWidth="1"/>
    <col min="9488" max="9488" width="13.7109375" style="4" customWidth="1"/>
    <col min="9489" max="9489" width="16.7109375" style="4" customWidth="1"/>
    <col min="9490" max="9496" width="12.7109375" style="4" customWidth="1"/>
    <col min="9497" max="9730" width="9.140625" style="4"/>
    <col min="9731" max="9731" width="10.140625" style="4" bestFit="1" customWidth="1"/>
    <col min="9732" max="9732" width="38.140625" style="4" customWidth="1"/>
    <col min="9733" max="9735" width="16.42578125" style="4" customWidth="1"/>
    <col min="9736" max="9736" width="18.140625" style="4" customWidth="1"/>
    <col min="9737" max="9737" width="15.7109375" style="4" customWidth="1"/>
    <col min="9738" max="9738" width="17.140625" style="4" customWidth="1"/>
    <col min="9739" max="9739" width="17.7109375" style="4" customWidth="1"/>
    <col min="9740" max="9740" width="16.7109375" style="4" customWidth="1"/>
    <col min="9741" max="9741" width="14.85546875" style="4" customWidth="1"/>
    <col min="9742" max="9742" width="9.42578125" style="4" customWidth="1"/>
    <col min="9743" max="9743" width="11" style="4" customWidth="1"/>
    <col min="9744" max="9744" width="13.7109375" style="4" customWidth="1"/>
    <col min="9745" max="9745" width="16.7109375" style="4" customWidth="1"/>
    <col min="9746" max="9752" width="12.7109375" style="4" customWidth="1"/>
    <col min="9753" max="9986" width="9.140625" style="4"/>
    <col min="9987" max="9987" width="10.140625" style="4" bestFit="1" customWidth="1"/>
    <col min="9988" max="9988" width="38.140625" style="4" customWidth="1"/>
    <col min="9989" max="9991" width="16.42578125" style="4" customWidth="1"/>
    <col min="9992" max="9992" width="18.140625" style="4" customWidth="1"/>
    <col min="9993" max="9993" width="15.7109375" style="4" customWidth="1"/>
    <col min="9994" max="9994" width="17.140625" style="4" customWidth="1"/>
    <col min="9995" max="9995" width="17.7109375" style="4" customWidth="1"/>
    <col min="9996" max="9996" width="16.7109375" style="4" customWidth="1"/>
    <col min="9997" max="9997" width="14.85546875" style="4" customWidth="1"/>
    <col min="9998" max="9998" width="9.42578125" style="4" customWidth="1"/>
    <col min="9999" max="9999" width="11" style="4" customWidth="1"/>
    <col min="10000" max="10000" width="13.7109375" style="4" customWidth="1"/>
    <col min="10001" max="10001" width="16.7109375" style="4" customWidth="1"/>
    <col min="10002" max="10008" width="12.7109375" style="4" customWidth="1"/>
    <col min="10009" max="10242" width="9.140625" style="4"/>
    <col min="10243" max="10243" width="10.140625" style="4" bestFit="1" customWidth="1"/>
    <col min="10244" max="10244" width="38.140625" style="4" customWidth="1"/>
    <col min="10245" max="10247" width="16.42578125" style="4" customWidth="1"/>
    <col min="10248" max="10248" width="18.140625" style="4" customWidth="1"/>
    <col min="10249" max="10249" width="15.7109375" style="4" customWidth="1"/>
    <col min="10250" max="10250" width="17.140625" style="4" customWidth="1"/>
    <col min="10251" max="10251" width="17.7109375" style="4" customWidth="1"/>
    <col min="10252" max="10252" width="16.7109375" style="4" customWidth="1"/>
    <col min="10253" max="10253" width="14.85546875" style="4" customWidth="1"/>
    <col min="10254" max="10254" width="9.42578125" style="4" customWidth="1"/>
    <col min="10255" max="10255" width="11" style="4" customWidth="1"/>
    <col min="10256" max="10256" width="13.7109375" style="4" customWidth="1"/>
    <col min="10257" max="10257" width="16.7109375" style="4" customWidth="1"/>
    <col min="10258" max="10264" width="12.7109375" style="4" customWidth="1"/>
    <col min="10265" max="10498" width="9.140625" style="4"/>
    <col min="10499" max="10499" width="10.140625" style="4" bestFit="1" customWidth="1"/>
    <col min="10500" max="10500" width="38.140625" style="4" customWidth="1"/>
    <col min="10501" max="10503" width="16.42578125" style="4" customWidth="1"/>
    <col min="10504" max="10504" width="18.140625" style="4" customWidth="1"/>
    <col min="10505" max="10505" width="15.7109375" style="4" customWidth="1"/>
    <col min="10506" max="10506" width="17.140625" style="4" customWidth="1"/>
    <col min="10507" max="10507" width="17.7109375" style="4" customWidth="1"/>
    <col min="10508" max="10508" width="16.7109375" style="4" customWidth="1"/>
    <col min="10509" max="10509" width="14.85546875" style="4" customWidth="1"/>
    <col min="10510" max="10510" width="9.42578125" style="4" customWidth="1"/>
    <col min="10511" max="10511" width="11" style="4" customWidth="1"/>
    <col min="10512" max="10512" width="13.7109375" style="4" customWidth="1"/>
    <col min="10513" max="10513" width="16.7109375" style="4" customWidth="1"/>
    <col min="10514" max="10520" width="12.7109375" style="4" customWidth="1"/>
    <col min="10521" max="10754" width="9.140625" style="4"/>
    <col min="10755" max="10755" width="10.140625" style="4" bestFit="1" customWidth="1"/>
    <col min="10756" max="10756" width="38.140625" style="4" customWidth="1"/>
    <col min="10757" max="10759" width="16.42578125" style="4" customWidth="1"/>
    <col min="10760" max="10760" width="18.140625" style="4" customWidth="1"/>
    <col min="10761" max="10761" width="15.7109375" style="4" customWidth="1"/>
    <col min="10762" max="10762" width="17.140625" style="4" customWidth="1"/>
    <col min="10763" max="10763" width="17.7109375" style="4" customWidth="1"/>
    <col min="10764" max="10764" width="16.7109375" style="4" customWidth="1"/>
    <col min="10765" max="10765" width="14.85546875" style="4" customWidth="1"/>
    <col min="10766" max="10766" width="9.42578125" style="4" customWidth="1"/>
    <col min="10767" max="10767" width="11" style="4" customWidth="1"/>
    <col min="10768" max="10768" width="13.7109375" style="4" customWidth="1"/>
    <col min="10769" max="10769" width="16.7109375" style="4" customWidth="1"/>
    <col min="10770" max="10776" width="12.7109375" style="4" customWidth="1"/>
    <col min="10777" max="11010" width="9.140625" style="4"/>
    <col min="11011" max="11011" width="10.140625" style="4" bestFit="1" customWidth="1"/>
    <col min="11012" max="11012" width="38.140625" style="4" customWidth="1"/>
    <col min="11013" max="11015" width="16.42578125" style="4" customWidth="1"/>
    <col min="11016" max="11016" width="18.140625" style="4" customWidth="1"/>
    <col min="11017" max="11017" width="15.7109375" style="4" customWidth="1"/>
    <col min="11018" max="11018" width="17.140625" style="4" customWidth="1"/>
    <col min="11019" max="11019" width="17.7109375" style="4" customWidth="1"/>
    <col min="11020" max="11020" width="16.7109375" style="4" customWidth="1"/>
    <col min="11021" max="11021" width="14.85546875" style="4" customWidth="1"/>
    <col min="11022" max="11022" width="9.42578125" style="4" customWidth="1"/>
    <col min="11023" max="11023" width="11" style="4" customWidth="1"/>
    <col min="11024" max="11024" width="13.7109375" style="4" customWidth="1"/>
    <col min="11025" max="11025" width="16.7109375" style="4" customWidth="1"/>
    <col min="11026" max="11032" width="12.7109375" style="4" customWidth="1"/>
    <col min="11033" max="11266" width="9.140625" style="4"/>
    <col min="11267" max="11267" width="10.140625" style="4" bestFit="1" customWidth="1"/>
    <col min="11268" max="11268" width="38.140625" style="4" customWidth="1"/>
    <col min="11269" max="11271" width="16.42578125" style="4" customWidth="1"/>
    <col min="11272" max="11272" width="18.140625" style="4" customWidth="1"/>
    <col min="11273" max="11273" width="15.7109375" style="4" customWidth="1"/>
    <col min="11274" max="11274" width="17.140625" style="4" customWidth="1"/>
    <col min="11275" max="11275" width="17.7109375" style="4" customWidth="1"/>
    <col min="11276" max="11276" width="16.7109375" style="4" customWidth="1"/>
    <col min="11277" max="11277" width="14.85546875" style="4" customWidth="1"/>
    <col min="11278" max="11278" width="9.42578125" style="4" customWidth="1"/>
    <col min="11279" max="11279" width="11" style="4" customWidth="1"/>
    <col min="11280" max="11280" width="13.7109375" style="4" customWidth="1"/>
    <col min="11281" max="11281" width="16.7109375" style="4" customWidth="1"/>
    <col min="11282" max="11288" width="12.7109375" style="4" customWidth="1"/>
    <col min="11289" max="11522" width="9.140625" style="4"/>
    <col min="11523" max="11523" width="10.140625" style="4" bestFit="1" customWidth="1"/>
    <col min="11524" max="11524" width="38.140625" style="4" customWidth="1"/>
    <col min="11525" max="11527" width="16.42578125" style="4" customWidth="1"/>
    <col min="11528" max="11528" width="18.140625" style="4" customWidth="1"/>
    <col min="11529" max="11529" width="15.7109375" style="4" customWidth="1"/>
    <col min="11530" max="11530" width="17.140625" style="4" customWidth="1"/>
    <col min="11531" max="11531" width="17.7109375" style="4" customWidth="1"/>
    <col min="11532" max="11532" width="16.7109375" style="4" customWidth="1"/>
    <col min="11533" max="11533" width="14.85546875" style="4" customWidth="1"/>
    <col min="11534" max="11534" width="9.42578125" style="4" customWidth="1"/>
    <col min="11535" max="11535" width="11" style="4" customWidth="1"/>
    <col min="11536" max="11536" width="13.7109375" style="4" customWidth="1"/>
    <col min="11537" max="11537" width="16.7109375" style="4" customWidth="1"/>
    <col min="11538" max="11544" width="12.7109375" style="4" customWidth="1"/>
    <col min="11545" max="11778" width="9.140625" style="4"/>
    <col min="11779" max="11779" width="10.140625" style="4" bestFit="1" customWidth="1"/>
    <col min="11780" max="11780" width="38.140625" style="4" customWidth="1"/>
    <col min="11781" max="11783" width="16.42578125" style="4" customWidth="1"/>
    <col min="11784" max="11784" width="18.140625" style="4" customWidth="1"/>
    <col min="11785" max="11785" width="15.7109375" style="4" customWidth="1"/>
    <col min="11786" max="11786" width="17.140625" style="4" customWidth="1"/>
    <col min="11787" max="11787" width="17.7109375" style="4" customWidth="1"/>
    <col min="11788" max="11788" width="16.7109375" style="4" customWidth="1"/>
    <col min="11789" max="11789" width="14.85546875" style="4" customWidth="1"/>
    <col min="11790" max="11790" width="9.42578125" style="4" customWidth="1"/>
    <col min="11791" max="11791" width="11" style="4" customWidth="1"/>
    <col min="11792" max="11792" width="13.7109375" style="4" customWidth="1"/>
    <col min="11793" max="11793" width="16.7109375" style="4" customWidth="1"/>
    <col min="11794" max="11800" width="12.7109375" style="4" customWidth="1"/>
    <col min="11801" max="12034" width="9.140625" style="4"/>
    <col min="12035" max="12035" width="10.140625" style="4" bestFit="1" customWidth="1"/>
    <col min="12036" max="12036" width="38.140625" style="4" customWidth="1"/>
    <col min="12037" max="12039" width="16.42578125" style="4" customWidth="1"/>
    <col min="12040" max="12040" width="18.140625" style="4" customWidth="1"/>
    <col min="12041" max="12041" width="15.7109375" style="4" customWidth="1"/>
    <col min="12042" max="12042" width="17.140625" style="4" customWidth="1"/>
    <col min="12043" max="12043" width="17.7109375" style="4" customWidth="1"/>
    <col min="12044" max="12044" width="16.7109375" style="4" customWidth="1"/>
    <col min="12045" max="12045" width="14.85546875" style="4" customWidth="1"/>
    <col min="12046" max="12046" width="9.42578125" style="4" customWidth="1"/>
    <col min="12047" max="12047" width="11" style="4" customWidth="1"/>
    <col min="12048" max="12048" width="13.7109375" style="4" customWidth="1"/>
    <col min="12049" max="12049" width="16.7109375" style="4" customWidth="1"/>
    <col min="12050" max="12056" width="12.7109375" style="4" customWidth="1"/>
    <col min="12057" max="12290" width="9.140625" style="4"/>
    <col min="12291" max="12291" width="10.140625" style="4" bestFit="1" customWidth="1"/>
    <col min="12292" max="12292" width="38.140625" style="4" customWidth="1"/>
    <col min="12293" max="12295" width="16.42578125" style="4" customWidth="1"/>
    <col min="12296" max="12296" width="18.140625" style="4" customWidth="1"/>
    <col min="12297" max="12297" width="15.7109375" style="4" customWidth="1"/>
    <col min="12298" max="12298" width="17.140625" style="4" customWidth="1"/>
    <col min="12299" max="12299" width="17.7109375" style="4" customWidth="1"/>
    <col min="12300" max="12300" width="16.7109375" style="4" customWidth="1"/>
    <col min="12301" max="12301" width="14.85546875" style="4" customWidth="1"/>
    <col min="12302" max="12302" width="9.42578125" style="4" customWidth="1"/>
    <col min="12303" max="12303" width="11" style="4" customWidth="1"/>
    <col min="12304" max="12304" width="13.7109375" style="4" customWidth="1"/>
    <col min="12305" max="12305" width="16.7109375" style="4" customWidth="1"/>
    <col min="12306" max="12312" width="12.7109375" style="4" customWidth="1"/>
    <col min="12313" max="12546" width="9.140625" style="4"/>
    <col min="12547" max="12547" width="10.140625" style="4" bestFit="1" customWidth="1"/>
    <col min="12548" max="12548" width="38.140625" style="4" customWidth="1"/>
    <col min="12549" max="12551" width="16.42578125" style="4" customWidth="1"/>
    <col min="12552" max="12552" width="18.140625" style="4" customWidth="1"/>
    <col min="12553" max="12553" width="15.7109375" style="4" customWidth="1"/>
    <col min="12554" max="12554" width="17.140625" style="4" customWidth="1"/>
    <col min="12555" max="12555" width="17.7109375" style="4" customWidth="1"/>
    <col min="12556" max="12556" width="16.7109375" style="4" customWidth="1"/>
    <col min="12557" max="12557" width="14.85546875" style="4" customWidth="1"/>
    <col min="12558" max="12558" width="9.42578125" style="4" customWidth="1"/>
    <col min="12559" max="12559" width="11" style="4" customWidth="1"/>
    <col min="12560" max="12560" width="13.7109375" style="4" customWidth="1"/>
    <col min="12561" max="12561" width="16.7109375" style="4" customWidth="1"/>
    <col min="12562" max="12568" width="12.7109375" style="4" customWidth="1"/>
    <col min="12569" max="12802" width="9.140625" style="4"/>
    <col min="12803" max="12803" width="10.140625" style="4" bestFit="1" customWidth="1"/>
    <col min="12804" max="12804" width="38.140625" style="4" customWidth="1"/>
    <col min="12805" max="12807" width="16.42578125" style="4" customWidth="1"/>
    <col min="12808" max="12808" width="18.140625" style="4" customWidth="1"/>
    <col min="12809" max="12809" width="15.7109375" style="4" customWidth="1"/>
    <col min="12810" max="12810" width="17.140625" style="4" customWidth="1"/>
    <col min="12811" max="12811" width="17.7109375" style="4" customWidth="1"/>
    <col min="12812" max="12812" width="16.7109375" style="4" customWidth="1"/>
    <col min="12813" max="12813" width="14.85546875" style="4" customWidth="1"/>
    <col min="12814" max="12814" width="9.42578125" style="4" customWidth="1"/>
    <col min="12815" max="12815" width="11" style="4" customWidth="1"/>
    <col min="12816" max="12816" width="13.7109375" style="4" customWidth="1"/>
    <col min="12817" max="12817" width="16.7109375" style="4" customWidth="1"/>
    <col min="12818" max="12824" width="12.7109375" style="4" customWidth="1"/>
    <col min="12825" max="13058" width="9.140625" style="4"/>
    <col min="13059" max="13059" width="10.140625" style="4" bestFit="1" customWidth="1"/>
    <col min="13060" max="13060" width="38.140625" style="4" customWidth="1"/>
    <col min="13061" max="13063" width="16.42578125" style="4" customWidth="1"/>
    <col min="13064" max="13064" width="18.140625" style="4" customWidth="1"/>
    <col min="13065" max="13065" width="15.7109375" style="4" customWidth="1"/>
    <col min="13066" max="13066" width="17.140625" style="4" customWidth="1"/>
    <col min="13067" max="13067" width="17.7109375" style="4" customWidth="1"/>
    <col min="13068" max="13068" width="16.7109375" style="4" customWidth="1"/>
    <col min="13069" max="13069" width="14.85546875" style="4" customWidth="1"/>
    <col min="13070" max="13070" width="9.42578125" style="4" customWidth="1"/>
    <col min="13071" max="13071" width="11" style="4" customWidth="1"/>
    <col min="13072" max="13072" width="13.7109375" style="4" customWidth="1"/>
    <col min="13073" max="13073" width="16.7109375" style="4" customWidth="1"/>
    <col min="13074" max="13080" width="12.7109375" style="4" customWidth="1"/>
    <col min="13081" max="13314" width="9.140625" style="4"/>
    <col min="13315" max="13315" width="10.140625" style="4" bestFit="1" customWidth="1"/>
    <col min="13316" max="13316" width="38.140625" style="4" customWidth="1"/>
    <col min="13317" max="13319" width="16.42578125" style="4" customWidth="1"/>
    <col min="13320" max="13320" width="18.140625" style="4" customWidth="1"/>
    <col min="13321" max="13321" width="15.7109375" style="4" customWidth="1"/>
    <col min="13322" max="13322" width="17.140625" style="4" customWidth="1"/>
    <col min="13323" max="13323" width="17.7109375" style="4" customWidth="1"/>
    <col min="13324" max="13324" width="16.7109375" style="4" customWidth="1"/>
    <col min="13325" max="13325" width="14.85546875" style="4" customWidth="1"/>
    <col min="13326" max="13326" width="9.42578125" style="4" customWidth="1"/>
    <col min="13327" max="13327" width="11" style="4" customWidth="1"/>
    <col min="13328" max="13328" width="13.7109375" style="4" customWidth="1"/>
    <col min="13329" max="13329" width="16.7109375" style="4" customWidth="1"/>
    <col min="13330" max="13336" width="12.7109375" style="4" customWidth="1"/>
    <col min="13337" max="13570" width="9.140625" style="4"/>
    <col min="13571" max="13571" width="10.140625" style="4" bestFit="1" customWidth="1"/>
    <col min="13572" max="13572" width="38.140625" style="4" customWidth="1"/>
    <col min="13573" max="13575" width="16.42578125" style="4" customWidth="1"/>
    <col min="13576" max="13576" width="18.140625" style="4" customWidth="1"/>
    <col min="13577" max="13577" width="15.7109375" style="4" customWidth="1"/>
    <col min="13578" max="13578" width="17.140625" style="4" customWidth="1"/>
    <col min="13579" max="13579" width="17.7109375" style="4" customWidth="1"/>
    <col min="13580" max="13580" width="16.7109375" style="4" customWidth="1"/>
    <col min="13581" max="13581" width="14.85546875" style="4" customWidth="1"/>
    <col min="13582" max="13582" width="9.42578125" style="4" customWidth="1"/>
    <col min="13583" max="13583" width="11" style="4" customWidth="1"/>
    <col min="13584" max="13584" width="13.7109375" style="4" customWidth="1"/>
    <col min="13585" max="13585" width="16.7109375" style="4" customWidth="1"/>
    <col min="13586" max="13592" width="12.7109375" style="4" customWidth="1"/>
    <col min="13593" max="13826" width="9.140625" style="4"/>
    <col min="13827" max="13827" width="10.140625" style="4" bestFit="1" customWidth="1"/>
    <col min="13828" max="13828" width="38.140625" style="4" customWidth="1"/>
    <col min="13829" max="13831" width="16.42578125" style="4" customWidth="1"/>
    <col min="13832" max="13832" width="18.140625" style="4" customWidth="1"/>
    <col min="13833" max="13833" width="15.7109375" style="4" customWidth="1"/>
    <col min="13834" max="13834" width="17.140625" style="4" customWidth="1"/>
    <col min="13835" max="13835" width="17.7109375" style="4" customWidth="1"/>
    <col min="13836" max="13836" width="16.7109375" style="4" customWidth="1"/>
    <col min="13837" max="13837" width="14.85546875" style="4" customWidth="1"/>
    <col min="13838" max="13838" width="9.42578125" style="4" customWidth="1"/>
    <col min="13839" max="13839" width="11" style="4" customWidth="1"/>
    <col min="13840" max="13840" width="13.7109375" style="4" customWidth="1"/>
    <col min="13841" max="13841" width="16.7109375" style="4" customWidth="1"/>
    <col min="13842" max="13848" width="12.7109375" style="4" customWidth="1"/>
    <col min="13849" max="14082" width="9.140625" style="4"/>
    <col min="14083" max="14083" width="10.140625" style="4" bestFit="1" customWidth="1"/>
    <col min="14084" max="14084" width="38.140625" style="4" customWidth="1"/>
    <col min="14085" max="14087" width="16.42578125" style="4" customWidth="1"/>
    <col min="14088" max="14088" width="18.140625" style="4" customWidth="1"/>
    <col min="14089" max="14089" width="15.7109375" style="4" customWidth="1"/>
    <col min="14090" max="14090" width="17.140625" style="4" customWidth="1"/>
    <col min="14091" max="14091" width="17.7109375" style="4" customWidth="1"/>
    <col min="14092" max="14092" width="16.7109375" style="4" customWidth="1"/>
    <col min="14093" max="14093" width="14.85546875" style="4" customWidth="1"/>
    <col min="14094" max="14094" width="9.42578125" style="4" customWidth="1"/>
    <col min="14095" max="14095" width="11" style="4" customWidth="1"/>
    <col min="14096" max="14096" width="13.7109375" style="4" customWidth="1"/>
    <col min="14097" max="14097" width="16.7109375" style="4" customWidth="1"/>
    <col min="14098" max="14104" width="12.7109375" style="4" customWidth="1"/>
    <col min="14105" max="14338" width="9.140625" style="4"/>
    <col min="14339" max="14339" width="10.140625" style="4" bestFit="1" customWidth="1"/>
    <col min="14340" max="14340" width="38.140625" style="4" customWidth="1"/>
    <col min="14341" max="14343" width="16.42578125" style="4" customWidth="1"/>
    <col min="14344" max="14344" width="18.140625" style="4" customWidth="1"/>
    <col min="14345" max="14345" width="15.7109375" style="4" customWidth="1"/>
    <col min="14346" max="14346" width="17.140625" style="4" customWidth="1"/>
    <col min="14347" max="14347" width="17.7109375" style="4" customWidth="1"/>
    <col min="14348" max="14348" width="16.7109375" style="4" customWidth="1"/>
    <col min="14349" max="14349" width="14.85546875" style="4" customWidth="1"/>
    <col min="14350" max="14350" width="9.42578125" style="4" customWidth="1"/>
    <col min="14351" max="14351" width="11" style="4" customWidth="1"/>
    <col min="14352" max="14352" width="13.7109375" style="4" customWidth="1"/>
    <col min="14353" max="14353" width="16.7109375" style="4" customWidth="1"/>
    <col min="14354" max="14360" width="12.7109375" style="4" customWidth="1"/>
    <col min="14361" max="14594" width="9.140625" style="4"/>
    <col min="14595" max="14595" width="10.140625" style="4" bestFit="1" customWidth="1"/>
    <col min="14596" max="14596" width="38.140625" style="4" customWidth="1"/>
    <col min="14597" max="14599" width="16.42578125" style="4" customWidth="1"/>
    <col min="14600" max="14600" width="18.140625" style="4" customWidth="1"/>
    <col min="14601" max="14601" width="15.7109375" style="4" customWidth="1"/>
    <col min="14602" max="14602" width="17.140625" style="4" customWidth="1"/>
    <col min="14603" max="14603" width="17.7109375" style="4" customWidth="1"/>
    <col min="14604" max="14604" width="16.7109375" style="4" customWidth="1"/>
    <col min="14605" max="14605" width="14.85546875" style="4" customWidth="1"/>
    <col min="14606" max="14606" width="9.42578125" style="4" customWidth="1"/>
    <col min="14607" max="14607" width="11" style="4" customWidth="1"/>
    <col min="14608" max="14608" width="13.7109375" style="4" customWidth="1"/>
    <col min="14609" max="14609" width="16.7109375" style="4" customWidth="1"/>
    <col min="14610" max="14616" width="12.7109375" style="4" customWidth="1"/>
    <col min="14617" max="14850" width="9.140625" style="4"/>
    <col min="14851" max="14851" width="10.140625" style="4" bestFit="1" customWidth="1"/>
    <col min="14852" max="14852" width="38.140625" style="4" customWidth="1"/>
    <col min="14853" max="14855" width="16.42578125" style="4" customWidth="1"/>
    <col min="14856" max="14856" width="18.140625" style="4" customWidth="1"/>
    <col min="14857" max="14857" width="15.7109375" style="4" customWidth="1"/>
    <col min="14858" max="14858" width="17.140625" style="4" customWidth="1"/>
    <col min="14859" max="14859" width="17.7109375" style="4" customWidth="1"/>
    <col min="14860" max="14860" width="16.7109375" style="4" customWidth="1"/>
    <col min="14861" max="14861" width="14.85546875" style="4" customWidth="1"/>
    <col min="14862" max="14862" width="9.42578125" style="4" customWidth="1"/>
    <col min="14863" max="14863" width="11" style="4" customWidth="1"/>
    <col min="14864" max="14864" width="13.7109375" style="4" customWidth="1"/>
    <col min="14865" max="14865" width="16.7109375" style="4" customWidth="1"/>
    <col min="14866" max="14872" width="12.7109375" style="4" customWidth="1"/>
    <col min="14873" max="15106" width="9.140625" style="4"/>
    <col min="15107" max="15107" width="10.140625" style="4" bestFit="1" customWidth="1"/>
    <col min="15108" max="15108" width="38.140625" style="4" customWidth="1"/>
    <col min="15109" max="15111" width="16.42578125" style="4" customWidth="1"/>
    <col min="15112" max="15112" width="18.140625" style="4" customWidth="1"/>
    <col min="15113" max="15113" width="15.7109375" style="4" customWidth="1"/>
    <col min="15114" max="15114" width="17.140625" style="4" customWidth="1"/>
    <col min="15115" max="15115" width="17.7109375" style="4" customWidth="1"/>
    <col min="15116" max="15116" width="16.7109375" style="4" customWidth="1"/>
    <col min="15117" max="15117" width="14.85546875" style="4" customWidth="1"/>
    <col min="15118" max="15118" width="9.42578125" style="4" customWidth="1"/>
    <col min="15119" max="15119" width="11" style="4" customWidth="1"/>
    <col min="15120" max="15120" width="13.7109375" style="4" customWidth="1"/>
    <col min="15121" max="15121" width="16.7109375" style="4" customWidth="1"/>
    <col min="15122" max="15128" width="12.7109375" style="4" customWidth="1"/>
    <col min="15129" max="15362" width="9.140625" style="4"/>
    <col min="15363" max="15363" width="10.140625" style="4" bestFit="1" customWidth="1"/>
    <col min="15364" max="15364" width="38.140625" style="4" customWidth="1"/>
    <col min="15365" max="15367" width="16.42578125" style="4" customWidth="1"/>
    <col min="15368" max="15368" width="18.140625" style="4" customWidth="1"/>
    <col min="15369" max="15369" width="15.7109375" style="4" customWidth="1"/>
    <col min="15370" max="15370" width="17.140625" style="4" customWidth="1"/>
    <col min="15371" max="15371" width="17.7109375" style="4" customWidth="1"/>
    <col min="15372" max="15372" width="16.7109375" style="4" customWidth="1"/>
    <col min="15373" max="15373" width="14.85546875" style="4" customWidth="1"/>
    <col min="15374" max="15374" width="9.42578125" style="4" customWidth="1"/>
    <col min="15375" max="15375" width="11" style="4" customWidth="1"/>
    <col min="15376" max="15376" width="13.7109375" style="4" customWidth="1"/>
    <col min="15377" max="15377" width="16.7109375" style="4" customWidth="1"/>
    <col min="15378" max="15384" width="12.7109375" style="4" customWidth="1"/>
    <col min="15385" max="15618" width="9.140625" style="4"/>
    <col min="15619" max="15619" width="10.140625" style="4" bestFit="1" customWidth="1"/>
    <col min="15620" max="15620" width="38.140625" style="4" customWidth="1"/>
    <col min="15621" max="15623" width="16.42578125" style="4" customWidth="1"/>
    <col min="15624" max="15624" width="18.140625" style="4" customWidth="1"/>
    <col min="15625" max="15625" width="15.7109375" style="4" customWidth="1"/>
    <col min="15626" max="15626" width="17.140625" style="4" customWidth="1"/>
    <col min="15627" max="15627" width="17.7109375" style="4" customWidth="1"/>
    <col min="15628" max="15628" width="16.7109375" style="4" customWidth="1"/>
    <col min="15629" max="15629" width="14.85546875" style="4" customWidth="1"/>
    <col min="15630" max="15630" width="9.42578125" style="4" customWidth="1"/>
    <col min="15631" max="15631" width="11" style="4" customWidth="1"/>
    <col min="15632" max="15632" width="13.7109375" style="4" customWidth="1"/>
    <col min="15633" max="15633" width="16.7109375" style="4" customWidth="1"/>
    <col min="15634" max="15640" width="12.7109375" style="4" customWidth="1"/>
    <col min="15641" max="15874" width="9.140625" style="4"/>
    <col min="15875" max="15875" width="10.140625" style="4" bestFit="1" customWidth="1"/>
    <col min="15876" max="15876" width="38.140625" style="4" customWidth="1"/>
    <col min="15877" max="15879" width="16.42578125" style="4" customWidth="1"/>
    <col min="15880" max="15880" width="18.140625" style="4" customWidth="1"/>
    <col min="15881" max="15881" width="15.7109375" style="4" customWidth="1"/>
    <col min="15882" max="15882" width="17.140625" style="4" customWidth="1"/>
    <col min="15883" max="15883" width="17.7109375" style="4" customWidth="1"/>
    <col min="15884" max="15884" width="16.7109375" style="4" customWidth="1"/>
    <col min="15885" max="15885" width="14.85546875" style="4" customWidth="1"/>
    <col min="15886" max="15886" width="9.42578125" style="4" customWidth="1"/>
    <col min="15887" max="15887" width="11" style="4" customWidth="1"/>
    <col min="15888" max="15888" width="13.7109375" style="4" customWidth="1"/>
    <col min="15889" max="15889" width="16.7109375" style="4" customWidth="1"/>
    <col min="15890" max="15896" width="12.7109375" style="4" customWidth="1"/>
    <col min="15897" max="16130" width="9.140625" style="4"/>
    <col min="16131" max="16131" width="10.140625" style="4" bestFit="1" customWidth="1"/>
    <col min="16132" max="16132" width="38.140625" style="4" customWidth="1"/>
    <col min="16133" max="16135" width="16.42578125" style="4" customWidth="1"/>
    <col min="16136" max="16136" width="18.140625" style="4" customWidth="1"/>
    <col min="16137" max="16137" width="15.7109375" style="4" customWidth="1"/>
    <col min="16138" max="16138" width="17.140625" style="4" customWidth="1"/>
    <col min="16139" max="16139" width="17.7109375" style="4" customWidth="1"/>
    <col min="16140" max="16140" width="16.7109375" style="4" customWidth="1"/>
    <col min="16141" max="16141" width="14.85546875" style="4" customWidth="1"/>
    <col min="16142" max="16142" width="9.42578125" style="4" customWidth="1"/>
    <col min="16143" max="16143" width="11" style="4" customWidth="1"/>
    <col min="16144" max="16144" width="13.7109375" style="4" customWidth="1"/>
    <col min="16145" max="16145" width="16.7109375" style="4" customWidth="1"/>
    <col min="16146" max="16152" width="12.7109375" style="4" customWidth="1"/>
    <col min="16153" max="16379" width="9.140625" style="4"/>
    <col min="16380" max="16384" width="9.140625" style="4" customWidth="1"/>
  </cols>
  <sheetData>
    <row r="1" spans="1:23">
      <c r="A1" s="3" t="s">
        <v>1</v>
      </c>
      <c r="B1" s="3" t="s">
        <v>2</v>
      </c>
      <c r="M1" s="5"/>
      <c r="N1" s="6" t="s">
        <v>17</v>
      </c>
      <c r="O1" s="54" t="s">
        <v>102</v>
      </c>
      <c r="P1" s="54"/>
    </row>
    <row r="2" spans="1:23" ht="15">
      <c r="A2" s="7" t="s">
        <v>1</v>
      </c>
      <c r="B2" s="8" t="s">
        <v>27</v>
      </c>
      <c r="J2" s="7"/>
      <c r="M2" s="7" t="s">
        <v>1</v>
      </c>
      <c r="N2" s="10" t="s">
        <v>18</v>
      </c>
      <c r="O2" s="54" t="s">
        <v>100</v>
      </c>
      <c r="P2" s="54"/>
    </row>
    <row r="3" spans="1:23">
      <c r="A3" s="7"/>
      <c r="B3" s="7"/>
      <c r="J3" s="7"/>
      <c r="M3" s="7"/>
      <c r="N3" s="10" t="s">
        <v>19</v>
      </c>
      <c r="O3" s="54" t="s">
        <v>99</v>
      </c>
      <c r="P3" s="54"/>
    </row>
    <row r="4" spans="1:23">
      <c r="A4" s="7"/>
      <c r="B4" s="7"/>
      <c r="J4" s="7"/>
      <c r="M4" s="7"/>
      <c r="N4" s="10" t="s">
        <v>20</v>
      </c>
      <c r="O4" s="54" t="s">
        <v>53</v>
      </c>
      <c r="P4" s="54"/>
    </row>
    <row r="5" spans="1:23" s="20" customFormat="1" ht="56.25" customHeight="1">
      <c r="A5" s="21" t="s">
        <v>7</v>
      </c>
      <c r="B5" s="21" t="s">
        <v>8</v>
      </c>
      <c r="C5" s="21" t="s">
        <v>9</v>
      </c>
      <c r="D5" s="21" t="s">
        <v>24</v>
      </c>
      <c r="E5" s="27" t="s">
        <v>25</v>
      </c>
      <c r="F5" s="21" t="s">
        <v>23</v>
      </c>
      <c r="G5" s="27" t="s">
        <v>26</v>
      </c>
      <c r="H5" s="21" t="s">
        <v>10</v>
      </c>
      <c r="I5" s="21" t="s">
        <v>22</v>
      </c>
      <c r="J5" s="21" t="s">
        <v>11</v>
      </c>
      <c r="K5" s="21" t="s">
        <v>12</v>
      </c>
      <c r="L5" s="21" t="s">
        <v>16</v>
      </c>
      <c r="M5" s="21" t="s">
        <v>13</v>
      </c>
      <c r="N5" s="21" t="s">
        <v>14</v>
      </c>
      <c r="O5" s="21" t="s">
        <v>15</v>
      </c>
      <c r="P5" s="21" t="s">
        <v>3</v>
      </c>
      <c r="S5" s="43" t="s">
        <v>98</v>
      </c>
    </row>
    <row r="6" spans="1:23">
      <c r="A6" s="29">
        <v>1</v>
      </c>
      <c r="B6" s="30" t="s">
        <v>28</v>
      </c>
      <c r="C6" s="31">
        <f>77396+520+454798</f>
        <v>532714</v>
      </c>
      <c r="D6" s="31"/>
      <c r="E6" s="32">
        <v>24.069999999948777</v>
      </c>
      <c r="F6" s="31">
        <v>14964.560000000001</v>
      </c>
      <c r="G6" s="32"/>
      <c r="H6" s="31">
        <f>F6+G6</f>
        <v>14964.560000000001</v>
      </c>
      <c r="I6" s="31">
        <f>C6+(D6+E6+H6)</f>
        <v>547702.63</v>
      </c>
      <c r="J6" s="37">
        <v>540826</v>
      </c>
      <c r="K6" s="37">
        <v>0</v>
      </c>
      <c r="L6" s="31"/>
      <c r="M6" s="31">
        <f>J6+K6</f>
        <v>540826</v>
      </c>
      <c r="N6" s="33">
        <f>M6/I6</f>
        <v>0.98744459196772527</v>
      </c>
      <c r="O6" s="31">
        <f>I6-M6</f>
        <v>6876.6300000000047</v>
      </c>
      <c r="P6" s="31">
        <f>M6*0.05</f>
        <v>27041.300000000003</v>
      </c>
      <c r="Q6" s="36"/>
      <c r="S6" s="44">
        <v>27041.3</v>
      </c>
      <c r="T6" s="41">
        <v>0</v>
      </c>
      <c r="U6" s="26">
        <f>S6+T6</f>
        <v>27041.3</v>
      </c>
      <c r="W6" s="26">
        <f>P6-U6</f>
        <v>0</v>
      </c>
    </row>
    <row r="7" spans="1:23">
      <c r="A7" s="29">
        <v>2</v>
      </c>
      <c r="B7" s="34" t="s">
        <v>54</v>
      </c>
      <c r="C7" s="31">
        <v>56638</v>
      </c>
      <c r="D7" s="31">
        <v>11309.9</v>
      </c>
      <c r="E7" s="32">
        <v>0</v>
      </c>
      <c r="F7" s="31">
        <v>0</v>
      </c>
      <c r="G7" s="32"/>
      <c r="H7" s="31">
        <f t="shared" ref="H7:H70" si="0">F7+G7</f>
        <v>0</v>
      </c>
      <c r="I7" s="31">
        <f>C7+(D7+E7+H7)</f>
        <v>67947.899999999994</v>
      </c>
      <c r="J7" s="37">
        <v>35247.56</v>
      </c>
      <c r="K7" s="37">
        <v>16860</v>
      </c>
      <c r="L7" s="31"/>
      <c r="M7" s="31">
        <f t="shared" ref="M7:M70" si="1">J7+K7</f>
        <v>52107.56</v>
      </c>
      <c r="N7" s="33">
        <f t="shared" ref="N7:N70" si="2">M7/I7</f>
        <v>0.76687520879968329</v>
      </c>
      <c r="O7" s="31">
        <f t="shared" ref="O7:O76" si="3">I7-M7</f>
        <v>15840.339999999997</v>
      </c>
      <c r="P7" s="31">
        <f t="shared" ref="P7:P8" si="4">M7*0.05</f>
        <v>2605.3780000000002</v>
      </c>
      <c r="Q7" s="36"/>
      <c r="S7" s="44">
        <v>1762.38</v>
      </c>
      <c r="T7" s="41">
        <v>843</v>
      </c>
      <c r="U7" s="26">
        <f t="shared" ref="U7:U70" si="5">S7+T7</f>
        <v>2605.38</v>
      </c>
      <c r="W7" s="26">
        <f t="shared" ref="W7:W70" si="6">P7-U7</f>
        <v>-1.9999999999527063E-3</v>
      </c>
    </row>
    <row r="8" spans="1:23">
      <c r="A8" s="29">
        <v>3</v>
      </c>
      <c r="B8" s="34" t="s">
        <v>55</v>
      </c>
      <c r="C8" s="31">
        <v>181382</v>
      </c>
      <c r="D8" s="31"/>
      <c r="E8" s="32">
        <v>0</v>
      </c>
      <c r="F8" s="31">
        <v>9263</v>
      </c>
      <c r="G8" s="32"/>
      <c r="H8" s="31">
        <f t="shared" si="0"/>
        <v>9263</v>
      </c>
      <c r="I8" s="31">
        <f t="shared" ref="I8:I75" si="7">C8+(D8+E8+H8)</f>
        <v>190645</v>
      </c>
      <c r="J8" s="37">
        <v>104210</v>
      </c>
      <c r="K8" s="37">
        <v>0</v>
      </c>
      <c r="L8" s="31"/>
      <c r="M8" s="31">
        <f t="shared" si="1"/>
        <v>104210</v>
      </c>
      <c r="N8" s="33">
        <f t="shared" si="2"/>
        <v>0.54661805974455135</v>
      </c>
      <c r="O8" s="31">
        <f t="shared" si="3"/>
        <v>86435</v>
      </c>
      <c r="P8" s="31">
        <f t="shared" si="4"/>
        <v>5210.5</v>
      </c>
      <c r="Q8" s="36"/>
      <c r="S8" s="44">
        <v>5210.5</v>
      </c>
      <c r="T8" s="41">
        <v>0</v>
      </c>
      <c r="U8" s="26">
        <f t="shared" si="5"/>
        <v>5210.5</v>
      </c>
      <c r="W8" s="26">
        <f t="shared" si="6"/>
        <v>0</v>
      </c>
    </row>
    <row r="9" spans="1:23">
      <c r="A9" s="29">
        <v>4</v>
      </c>
      <c r="B9" s="30" t="s">
        <v>29</v>
      </c>
      <c r="C9" s="31">
        <v>30000</v>
      </c>
      <c r="D9" s="31"/>
      <c r="E9" s="32">
        <v>0</v>
      </c>
      <c r="F9" s="31">
        <v>0</v>
      </c>
      <c r="G9" s="32"/>
      <c r="H9" s="31">
        <f t="shared" si="0"/>
        <v>0</v>
      </c>
      <c r="I9" s="31">
        <f t="shared" ref="I9" si="8">C9+(D9+E9+H9)</f>
        <v>30000</v>
      </c>
      <c r="J9" s="37">
        <v>30000</v>
      </c>
      <c r="K9" s="37">
        <v>0</v>
      </c>
      <c r="L9" s="31"/>
      <c r="M9" s="31">
        <f t="shared" si="1"/>
        <v>30000</v>
      </c>
      <c r="N9" s="33">
        <f t="shared" si="2"/>
        <v>1</v>
      </c>
      <c r="O9" s="31">
        <f t="shared" ref="O9" si="9">I9-M9</f>
        <v>0</v>
      </c>
      <c r="P9" s="31">
        <f t="shared" ref="P9" si="10">M9*0.05</f>
        <v>1500</v>
      </c>
      <c r="Q9" s="36"/>
      <c r="S9" s="44">
        <v>1500</v>
      </c>
      <c r="T9" s="41">
        <v>0</v>
      </c>
      <c r="U9" s="26">
        <f t="shared" si="5"/>
        <v>1500</v>
      </c>
      <c r="W9" s="26">
        <f t="shared" si="6"/>
        <v>0</v>
      </c>
    </row>
    <row r="10" spans="1:23">
      <c r="A10" s="29">
        <v>5</v>
      </c>
      <c r="B10" s="30" t="s">
        <v>30</v>
      </c>
      <c r="C10" s="31">
        <v>433070</v>
      </c>
      <c r="D10" s="31"/>
      <c r="E10" s="32">
        <v>0</v>
      </c>
      <c r="F10" s="31">
        <v>0</v>
      </c>
      <c r="G10" s="32"/>
      <c r="H10" s="31">
        <f t="shared" si="0"/>
        <v>0</v>
      </c>
      <c r="I10" s="31">
        <f t="shared" si="7"/>
        <v>433070</v>
      </c>
      <c r="J10" s="37">
        <v>237807.5</v>
      </c>
      <c r="K10" s="37">
        <v>20320</v>
      </c>
      <c r="L10" s="31"/>
      <c r="M10" s="31">
        <f>J10+K10</f>
        <v>258127.5</v>
      </c>
      <c r="N10" s="33">
        <f t="shared" si="2"/>
        <v>0.5960410557184751</v>
      </c>
      <c r="O10" s="31">
        <f t="shared" si="3"/>
        <v>174942.5</v>
      </c>
      <c r="P10" s="31">
        <f t="shared" ref="P10:P76" si="11">M10*0.05</f>
        <v>12906.375</v>
      </c>
      <c r="Q10" s="36"/>
      <c r="S10" s="44">
        <v>11890.38</v>
      </c>
      <c r="T10" s="41">
        <v>1016</v>
      </c>
      <c r="U10" s="26">
        <f>S10+T10</f>
        <v>12906.38</v>
      </c>
      <c r="W10" s="26">
        <f t="shared" si="6"/>
        <v>-4.9999999991996447E-3</v>
      </c>
    </row>
    <row r="11" spans="1:23">
      <c r="A11" s="29">
        <v>6</v>
      </c>
      <c r="B11" s="30" t="s">
        <v>68</v>
      </c>
      <c r="C11" s="31">
        <v>58366</v>
      </c>
      <c r="D11" s="31"/>
      <c r="E11" s="32">
        <v>0</v>
      </c>
      <c r="F11" s="31">
        <v>0</v>
      </c>
      <c r="G11" s="32"/>
      <c r="H11" s="31">
        <f t="shared" si="0"/>
        <v>0</v>
      </c>
      <c r="I11" s="31">
        <f t="shared" si="7"/>
        <v>58366</v>
      </c>
      <c r="J11" s="37">
        <v>33880</v>
      </c>
      <c r="K11" s="37">
        <v>3080</v>
      </c>
      <c r="L11" s="31"/>
      <c r="M11" s="31">
        <f t="shared" si="1"/>
        <v>36960</v>
      </c>
      <c r="N11" s="33">
        <f t="shared" si="2"/>
        <v>0.63324538258575203</v>
      </c>
      <c r="O11" s="31">
        <f t="shared" si="3"/>
        <v>21406</v>
      </c>
      <c r="P11" s="31">
        <f t="shared" si="11"/>
        <v>1848</v>
      </c>
      <c r="Q11" s="36"/>
      <c r="S11" s="44">
        <v>1694</v>
      </c>
      <c r="T11" s="41">
        <v>154</v>
      </c>
      <c r="U11" s="26">
        <f t="shared" si="5"/>
        <v>1848</v>
      </c>
      <c r="W11" s="26">
        <f t="shared" si="6"/>
        <v>0</v>
      </c>
    </row>
    <row r="12" spans="1:23">
      <c r="A12" s="29">
        <v>7</v>
      </c>
      <c r="B12" s="30" t="s">
        <v>47</v>
      </c>
      <c r="C12" s="31">
        <v>279586</v>
      </c>
      <c r="D12" s="31"/>
      <c r="E12" s="32">
        <v>10000</v>
      </c>
      <c r="F12" s="31">
        <v>0</v>
      </c>
      <c r="G12" s="32"/>
      <c r="H12" s="31">
        <f t="shared" si="0"/>
        <v>0</v>
      </c>
      <c r="I12" s="31">
        <f t="shared" ref="I12" si="12">C12+(D12+E12+H12)</f>
        <v>289586</v>
      </c>
      <c r="J12" s="37">
        <v>165199.83000000002</v>
      </c>
      <c r="K12" s="37">
        <v>14703</v>
      </c>
      <c r="L12" s="31"/>
      <c r="M12" s="31">
        <f t="shared" si="1"/>
        <v>179902.83000000002</v>
      </c>
      <c r="N12" s="33">
        <f t="shared" si="2"/>
        <v>0.62124146194912744</v>
      </c>
      <c r="O12" s="31">
        <f t="shared" ref="O12" si="13">I12-M12</f>
        <v>109683.16999999998</v>
      </c>
      <c r="P12" s="31">
        <f t="shared" ref="P12" si="14">M12*0.05</f>
        <v>8995.1415000000015</v>
      </c>
      <c r="Q12" s="36"/>
      <c r="S12" s="44">
        <v>8259.99</v>
      </c>
      <c r="T12" s="41">
        <v>735.15</v>
      </c>
      <c r="U12" s="26">
        <f t="shared" si="5"/>
        <v>8995.14</v>
      </c>
      <c r="W12" s="26">
        <f t="shared" si="6"/>
        <v>1.5000000021245796E-3</v>
      </c>
    </row>
    <row r="13" spans="1:23">
      <c r="A13" s="29">
        <v>8</v>
      </c>
      <c r="B13" s="30" t="s">
        <v>31</v>
      </c>
      <c r="C13" s="31">
        <v>296940</v>
      </c>
      <c r="D13" s="31"/>
      <c r="E13" s="32">
        <v>0</v>
      </c>
      <c r="F13" s="31">
        <v>0</v>
      </c>
      <c r="G13" s="32"/>
      <c r="H13" s="31">
        <f t="shared" si="0"/>
        <v>0</v>
      </c>
      <c r="I13" s="31">
        <f t="shared" si="7"/>
        <v>296940</v>
      </c>
      <c r="J13" s="37">
        <v>172480</v>
      </c>
      <c r="K13" s="37">
        <v>15680</v>
      </c>
      <c r="L13" s="31"/>
      <c r="M13" s="31">
        <f t="shared" si="1"/>
        <v>188160</v>
      </c>
      <c r="N13" s="33">
        <f t="shared" si="2"/>
        <v>0.63366336633663367</v>
      </c>
      <c r="O13" s="31">
        <f t="shared" si="3"/>
        <v>108780</v>
      </c>
      <c r="P13" s="31">
        <f t="shared" si="11"/>
        <v>9408</v>
      </c>
      <c r="Q13" s="36"/>
      <c r="S13" s="44">
        <v>8624</v>
      </c>
      <c r="T13" s="41">
        <v>784</v>
      </c>
      <c r="U13" s="26">
        <f t="shared" si="5"/>
        <v>9408</v>
      </c>
      <c r="W13" s="26">
        <f t="shared" si="6"/>
        <v>0</v>
      </c>
    </row>
    <row r="14" spans="1:23">
      <c r="A14" s="29">
        <v>9</v>
      </c>
      <c r="B14" s="30" t="s">
        <v>32</v>
      </c>
      <c r="C14" s="31">
        <v>98172</v>
      </c>
      <c r="D14" s="31"/>
      <c r="E14" s="32">
        <v>0</v>
      </c>
      <c r="F14" s="31">
        <v>0</v>
      </c>
      <c r="G14" s="32"/>
      <c r="H14" s="31">
        <f t="shared" si="0"/>
        <v>0</v>
      </c>
      <c r="I14" s="31">
        <f t="shared" si="7"/>
        <v>98172</v>
      </c>
      <c r="J14" s="37">
        <v>55788.75</v>
      </c>
      <c r="K14" s="37">
        <v>5184</v>
      </c>
      <c r="L14" s="31"/>
      <c r="M14" s="31">
        <f t="shared" si="1"/>
        <v>60972.75</v>
      </c>
      <c r="N14" s="33">
        <f t="shared" si="2"/>
        <v>0.6210808580858086</v>
      </c>
      <c r="O14" s="31">
        <f t="shared" si="3"/>
        <v>37199.25</v>
      </c>
      <c r="P14" s="31">
        <f t="shared" si="11"/>
        <v>3048.6375000000003</v>
      </c>
      <c r="Q14" s="36"/>
      <c r="S14" s="44">
        <v>2789.44</v>
      </c>
      <c r="T14" s="41">
        <v>259.2</v>
      </c>
      <c r="U14" s="26">
        <f t="shared" si="5"/>
        <v>3048.64</v>
      </c>
      <c r="W14" s="26">
        <f t="shared" si="6"/>
        <v>-2.4999999995998223E-3</v>
      </c>
    </row>
    <row r="15" spans="1:23">
      <c r="A15" s="29">
        <v>10</v>
      </c>
      <c r="B15" s="30" t="s">
        <v>33</v>
      </c>
      <c r="C15" s="31">
        <v>293346</v>
      </c>
      <c r="D15" s="31"/>
      <c r="E15" s="32">
        <v>0</v>
      </c>
      <c r="F15" s="31">
        <v>0</v>
      </c>
      <c r="G15" s="32"/>
      <c r="H15" s="31">
        <f t="shared" si="0"/>
        <v>0</v>
      </c>
      <c r="I15" s="31">
        <f t="shared" si="7"/>
        <v>293346</v>
      </c>
      <c r="J15" s="37">
        <v>170280</v>
      </c>
      <c r="K15" s="37">
        <v>15480</v>
      </c>
      <c r="L15" s="31"/>
      <c r="M15" s="31">
        <f t="shared" si="1"/>
        <v>185760</v>
      </c>
      <c r="N15" s="33">
        <f t="shared" si="2"/>
        <v>0.63324538258575203</v>
      </c>
      <c r="O15" s="31">
        <f t="shared" si="3"/>
        <v>107586</v>
      </c>
      <c r="P15" s="31">
        <f>M15*0.05</f>
        <v>9288</v>
      </c>
      <c r="Q15" s="36"/>
      <c r="S15" s="44">
        <v>8514</v>
      </c>
      <c r="T15" s="41">
        <v>774</v>
      </c>
      <c r="U15" s="26">
        <f t="shared" si="5"/>
        <v>9288</v>
      </c>
      <c r="W15" s="26">
        <f t="shared" si="6"/>
        <v>0</v>
      </c>
    </row>
    <row r="16" spans="1:23">
      <c r="A16" s="29">
        <v>11</v>
      </c>
      <c r="B16" s="30" t="s">
        <v>34</v>
      </c>
      <c r="C16" s="31">
        <v>25232</v>
      </c>
      <c r="D16" s="31"/>
      <c r="E16" s="32">
        <v>0</v>
      </c>
      <c r="F16" s="31">
        <v>0</v>
      </c>
      <c r="G16" s="32"/>
      <c r="H16" s="31">
        <f t="shared" si="0"/>
        <v>0</v>
      </c>
      <c r="I16" s="31">
        <f t="shared" si="7"/>
        <v>25232</v>
      </c>
      <c r="J16" s="37">
        <v>11352</v>
      </c>
      <c r="K16" s="37">
        <v>1032</v>
      </c>
      <c r="L16" s="31"/>
      <c r="M16" s="31">
        <f t="shared" si="1"/>
        <v>12384</v>
      </c>
      <c r="N16" s="33">
        <f t="shared" si="2"/>
        <v>0.49080532656943565</v>
      </c>
      <c r="O16" s="31">
        <f t="shared" si="3"/>
        <v>12848</v>
      </c>
      <c r="P16" s="31">
        <f t="shared" si="11"/>
        <v>619.20000000000005</v>
      </c>
      <c r="Q16" s="36"/>
      <c r="S16" s="44">
        <v>567.6</v>
      </c>
      <c r="T16" s="41">
        <v>51.6</v>
      </c>
      <c r="U16" s="26">
        <f t="shared" si="5"/>
        <v>619.20000000000005</v>
      </c>
      <c r="W16" s="26">
        <f t="shared" si="6"/>
        <v>0</v>
      </c>
    </row>
    <row r="17" spans="1:23">
      <c r="A17" s="29">
        <v>12</v>
      </c>
      <c r="B17" s="30" t="s">
        <v>56</v>
      </c>
      <c r="C17" s="31">
        <v>38384</v>
      </c>
      <c r="D17" s="31"/>
      <c r="E17" s="32">
        <v>0</v>
      </c>
      <c r="F17" s="31">
        <v>0</v>
      </c>
      <c r="G17" s="32"/>
      <c r="H17" s="31">
        <f t="shared" si="0"/>
        <v>0</v>
      </c>
      <c r="I17" s="31">
        <f t="shared" si="7"/>
        <v>38384</v>
      </c>
      <c r="J17" s="37">
        <v>29434.960000000003</v>
      </c>
      <c r="K17" s="37">
        <v>2081</v>
      </c>
      <c r="L17" s="31"/>
      <c r="M17" s="31">
        <f>J17+K17</f>
        <v>31515.960000000003</v>
      </c>
      <c r="N17" s="33">
        <f t="shared" si="2"/>
        <v>0.82107023759899966</v>
      </c>
      <c r="O17" s="31">
        <f t="shared" si="3"/>
        <v>6868.0399999999972</v>
      </c>
      <c r="P17" s="31">
        <f t="shared" si="11"/>
        <v>1575.7980000000002</v>
      </c>
      <c r="Q17" s="36"/>
      <c r="S17" s="44">
        <v>1471.75</v>
      </c>
      <c r="T17" s="41">
        <v>104.05</v>
      </c>
      <c r="U17" s="26">
        <f t="shared" si="5"/>
        <v>1575.8</v>
      </c>
      <c r="W17" s="26">
        <f t="shared" si="6"/>
        <v>-1.9999999997253326E-3</v>
      </c>
    </row>
    <row r="18" spans="1:23">
      <c r="A18" s="29">
        <v>13</v>
      </c>
      <c r="B18" s="30" t="s">
        <v>35</v>
      </c>
      <c r="C18" s="31">
        <f>7374+21000</f>
        <v>28374</v>
      </c>
      <c r="D18" s="31"/>
      <c r="E18" s="32">
        <v>0</v>
      </c>
      <c r="F18" s="31">
        <v>0</v>
      </c>
      <c r="G18" s="32"/>
      <c r="H18" s="31">
        <f t="shared" si="0"/>
        <v>0</v>
      </c>
      <c r="I18" s="31">
        <f t="shared" si="7"/>
        <v>28374</v>
      </c>
      <c r="J18" s="37">
        <v>16828.45</v>
      </c>
      <c r="K18" s="37">
        <v>2159.65</v>
      </c>
      <c r="L18" s="31"/>
      <c r="M18" s="31">
        <f t="shared" si="1"/>
        <v>18988.100000000002</v>
      </c>
      <c r="N18" s="33">
        <f t="shared" si="2"/>
        <v>0.66920772538239237</v>
      </c>
      <c r="O18" s="31">
        <f t="shared" si="3"/>
        <v>9385.8999999999978</v>
      </c>
      <c r="P18" s="31">
        <f t="shared" si="11"/>
        <v>949.4050000000002</v>
      </c>
      <c r="Q18" s="36"/>
      <c r="S18" s="44">
        <v>841.42</v>
      </c>
      <c r="T18" s="41">
        <v>107.98</v>
      </c>
      <c r="U18" s="26">
        <f t="shared" si="5"/>
        <v>949.4</v>
      </c>
      <c r="W18" s="26">
        <f t="shared" si="6"/>
        <v>5.0000000002228262E-3</v>
      </c>
    </row>
    <row r="19" spans="1:23">
      <c r="A19" s="29">
        <v>14</v>
      </c>
      <c r="B19" s="30" t="s">
        <v>57</v>
      </c>
      <c r="C19" s="31">
        <v>10000</v>
      </c>
      <c r="D19" s="31"/>
      <c r="E19" s="32">
        <v>0</v>
      </c>
      <c r="F19" s="31">
        <v>0</v>
      </c>
      <c r="G19" s="32"/>
      <c r="H19" s="31">
        <f t="shared" si="0"/>
        <v>0</v>
      </c>
      <c r="I19" s="31">
        <f t="shared" si="7"/>
        <v>10000</v>
      </c>
      <c r="J19" s="37">
        <v>2391.96</v>
      </c>
      <c r="K19" s="48">
        <v>0</v>
      </c>
      <c r="L19" s="31"/>
      <c r="M19" s="31">
        <f t="shared" si="1"/>
        <v>2391.96</v>
      </c>
      <c r="N19" s="33">
        <f t="shared" si="2"/>
        <v>0.23919599999999999</v>
      </c>
      <c r="O19" s="31">
        <f t="shared" si="3"/>
        <v>7608.04</v>
      </c>
      <c r="P19" s="31">
        <f t="shared" si="11"/>
        <v>119.59800000000001</v>
      </c>
      <c r="Q19" s="36"/>
      <c r="S19" s="44">
        <v>119.6</v>
      </c>
      <c r="T19" s="41">
        <v>0</v>
      </c>
      <c r="U19" s="26">
        <f t="shared" si="5"/>
        <v>119.6</v>
      </c>
      <c r="W19" s="26">
        <f t="shared" si="6"/>
        <v>-1.999999999981128E-3</v>
      </c>
    </row>
    <row r="20" spans="1:23">
      <c r="A20" s="29">
        <v>15</v>
      </c>
      <c r="B20" s="30" t="s">
        <v>36</v>
      </c>
      <c r="C20" s="31">
        <f>27735+44188</f>
        <v>71923</v>
      </c>
      <c r="D20" s="31"/>
      <c r="E20" s="32">
        <v>-54.8</v>
      </c>
      <c r="F20" s="31">
        <v>0</v>
      </c>
      <c r="G20" s="32"/>
      <c r="H20" s="31">
        <f t="shared" si="0"/>
        <v>0</v>
      </c>
      <c r="I20" s="31">
        <f t="shared" si="7"/>
        <v>71868.2</v>
      </c>
      <c r="J20" s="37">
        <v>55001.91</v>
      </c>
      <c r="K20" s="37">
        <v>1081.43</v>
      </c>
      <c r="L20" s="31"/>
      <c r="M20" s="31">
        <f t="shared" si="1"/>
        <v>56083.340000000004</v>
      </c>
      <c r="N20" s="33">
        <f t="shared" si="2"/>
        <v>0.78036377702516557</v>
      </c>
      <c r="O20" s="31">
        <f t="shared" si="3"/>
        <v>15784.859999999993</v>
      </c>
      <c r="P20" s="31">
        <f t="shared" si="11"/>
        <v>2804.1670000000004</v>
      </c>
      <c r="Q20" s="36"/>
      <c r="S20" s="44">
        <v>2750.09</v>
      </c>
      <c r="T20" s="41">
        <v>54.07</v>
      </c>
      <c r="U20" s="26">
        <f t="shared" si="5"/>
        <v>2804.1600000000003</v>
      </c>
      <c r="W20" s="26">
        <f t="shared" si="6"/>
        <v>7.0000000000618456E-3</v>
      </c>
    </row>
    <row r="21" spans="1:23">
      <c r="A21" s="29">
        <v>16</v>
      </c>
      <c r="B21" s="30" t="s">
        <v>37</v>
      </c>
      <c r="C21" s="31">
        <v>75000</v>
      </c>
      <c r="D21" s="31">
        <v>4500</v>
      </c>
      <c r="E21" s="32">
        <v>-4500</v>
      </c>
      <c r="F21" s="31">
        <v>0</v>
      </c>
      <c r="G21" s="32"/>
      <c r="H21" s="31">
        <f t="shared" si="0"/>
        <v>0</v>
      </c>
      <c r="I21" s="31">
        <f t="shared" si="7"/>
        <v>75000</v>
      </c>
      <c r="J21" s="37">
        <v>37049.85</v>
      </c>
      <c r="K21" s="37">
        <v>4017.5</v>
      </c>
      <c r="L21" s="31"/>
      <c r="M21" s="31">
        <f t="shared" si="1"/>
        <v>41067.35</v>
      </c>
      <c r="N21" s="33">
        <f t="shared" si="2"/>
        <v>0.5475646666666667</v>
      </c>
      <c r="O21" s="31">
        <f t="shared" si="3"/>
        <v>33932.65</v>
      </c>
      <c r="P21" s="31">
        <f t="shared" si="11"/>
        <v>2053.3674999999998</v>
      </c>
      <c r="Q21" s="36"/>
      <c r="S21" s="44">
        <v>1852.49</v>
      </c>
      <c r="T21" s="41">
        <v>200.88</v>
      </c>
      <c r="U21" s="26">
        <f t="shared" si="5"/>
        <v>2053.37</v>
      </c>
      <c r="W21" s="26">
        <f t="shared" si="6"/>
        <v>-2.5000000000545697E-3</v>
      </c>
    </row>
    <row r="22" spans="1:23">
      <c r="A22" s="29">
        <v>17</v>
      </c>
      <c r="B22" s="30" t="s">
        <v>38</v>
      </c>
      <c r="C22" s="31">
        <v>80000</v>
      </c>
      <c r="D22" s="31"/>
      <c r="E22" s="32">
        <v>0</v>
      </c>
      <c r="F22" s="31">
        <v>0</v>
      </c>
      <c r="G22" s="32"/>
      <c r="H22" s="31">
        <f t="shared" si="0"/>
        <v>0</v>
      </c>
      <c r="I22" s="31">
        <f t="shared" si="7"/>
        <v>80000</v>
      </c>
      <c r="J22" s="37">
        <v>46324.21</v>
      </c>
      <c r="K22" s="37">
        <v>21216.28</v>
      </c>
      <c r="L22" s="31"/>
      <c r="M22" s="31">
        <f t="shared" si="1"/>
        <v>67540.489999999991</v>
      </c>
      <c r="N22" s="33">
        <f t="shared" si="2"/>
        <v>0.84425612499999991</v>
      </c>
      <c r="O22" s="31">
        <f t="shared" si="3"/>
        <v>12459.510000000009</v>
      </c>
      <c r="P22" s="31">
        <f t="shared" si="11"/>
        <v>3377.0244999999995</v>
      </c>
      <c r="Q22" s="36"/>
      <c r="S22" s="44">
        <v>2316.1999999999998</v>
      </c>
      <c r="T22" s="41">
        <v>1060.81</v>
      </c>
      <c r="U22" s="26">
        <f t="shared" si="5"/>
        <v>3377.0099999999998</v>
      </c>
      <c r="W22" s="26">
        <f t="shared" si="6"/>
        <v>1.4499999999770807E-2</v>
      </c>
    </row>
    <row r="23" spans="1:23">
      <c r="A23" s="29">
        <v>18</v>
      </c>
      <c r="B23" s="30" t="s">
        <v>58</v>
      </c>
      <c r="C23" s="31">
        <f>471891+68807</f>
        <v>540698</v>
      </c>
      <c r="D23" s="31"/>
      <c r="E23" s="32">
        <v>-10000</v>
      </c>
      <c r="F23" s="31">
        <v>0</v>
      </c>
      <c r="G23" s="32"/>
      <c r="H23" s="31">
        <f t="shared" si="0"/>
        <v>0</v>
      </c>
      <c r="I23" s="31">
        <f t="shared" si="7"/>
        <v>530698</v>
      </c>
      <c r="J23" s="37">
        <v>242560.53</v>
      </c>
      <c r="K23" s="37">
        <v>28678.9</v>
      </c>
      <c r="L23" s="31"/>
      <c r="M23" s="31">
        <f t="shared" si="1"/>
        <v>271239.43</v>
      </c>
      <c r="N23" s="33">
        <f t="shared" si="2"/>
        <v>0.51109940116601149</v>
      </c>
      <c r="O23" s="31">
        <f t="shared" si="3"/>
        <v>259458.57</v>
      </c>
      <c r="P23" s="31">
        <f t="shared" si="11"/>
        <v>13561.9715</v>
      </c>
      <c r="Q23" s="36"/>
      <c r="S23" s="44">
        <v>12128.03</v>
      </c>
      <c r="T23" s="41">
        <v>1433.95</v>
      </c>
      <c r="U23" s="26">
        <f t="shared" si="5"/>
        <v>13561.980000000001</v>
      </c>
      <c r="W23" s="26">
        <f t="shared" si="6"/>
        <v>-8.5000000017316779E-3</v>
      </c>
    </row>
    <row r="24" spans="1:23">
      <c r="A24" s="29">
        <v>19</v>
      </c>
      <c r="B24" s="30" t="s">
        <v>69</v>
      </c>
      <c r="C24" s="31">
        <f>80211+1227+25000</f>
        <v>106438</v>
      </c>
      <c r="D24" s="31"/>
      <c r="E24" s="32">
        <v>0</v>
      </c>
      <c r="F24" s="31">
        <v>0</v>
      </c>
      <c r="G24" s="32"/>
      <c r="H24" s="31">
        <f t="shared" si="0"/>
        <v>0</v>
      </c>
      <c r="I24" s="31">
        <f t="shared" si="7"/>
        <v>106438</v>
      </c>
      <c r="J24" s="37">
        <v>0</v>
      </c>
      <c r="K24" s="37">
        <v>0</v>
      </c>
      <c r="L24" s="31"/>
      <c r="M24" s="31">
        <f t="shared" si="1"/>
        <v>0</v>
      </c>
      <c r="N24" s="33">
        <f t="shared" si="2"/>
        <v>0</v>
      </c>
      <c r="O24" s="31">
        <f t="shared" si="3"/>
        <v>106438</v>
      </c>
      <c r="P24" s="31">
        <f t="shared" si="11"/>
        <v>0</v>
      </c>
      <c r="Q24" s="36"/>
      <c r="S24" s="44">
        <v>0</v>
      </c>
      <c r="T24" s="41">
        <v>0</v>
      </c>
      <c r="U24" s="26">
        <f t="shared" si="5"/>
        <v>0</v>
      </c>
      <c r="W24" s="26">
        <f t="shared" si="6"/>
        <v>0</v>
      </c>
    </row>
    <row r="25" spans="1:23">
      <c r="A25" s="29">
        <v>20</v>
      </c>
      <c r="B25" s="30" t="s">
        <v>39</v>
      </c>
      <c r="C25" s="31">
        <f>11413+17500</f>
        <v>28913</v>
      </c>
      <c r="D25" s="31"/>
      <c r="E25" s="32">
        <v>0</v>
      </c>
      <c r="F25" s="31">
        <v>0</v>
      </c>
      <c r="G25" s="32"/>
      <c r="H25" s="31">
        <f t="shared" si="0"/>
        <v>0</v>
      </c>
      <c r="I25" s="31">
        <f t="shared" si="7"/>
        <v>28913</v>
      </c>
      <c r="J25" s="37">
        <v>28321.780000000002</v>
      </c>
      <c r="K25" s="37">
        <v>0</v>
      </c>
      <c r="L25" s="31"/>
      <c r="M25" s="31">
        <f t="shared" si="1"/>
        <v>28321.780000000002</v>
      </c>
      <c r="N25" s="33">
        <f t="shared" si="2"/>
        <v>0.97955175872444933</v>
      </c>
      <c r="O25" s="31">
        <f t="shared" si="3"/>
        <v>591.21999999999753</v>
      </c>
      <c r="P25" s="31">
        <f t="shared" si="11"/>
        <v>1416.0890000000002</v>
      </c>
      <c r="Q25" s="36"/>
      <c r="S25" s="44">
        <v>1339.0300000000002</v>
      </c>
      <c r="T25" s="41">
        <v>77.06</v>
      </c>
      <c r="U25" s="26">
        <f t="shared" si="5"/>
        <v>1416.0900000000001</v>
      </c>
      <c r="W25" s="26">
        <f t="shared" si="6"/>
        <v>-9.9999999997635314E-4</v>
      </c>
    </row>
    <row r="26" spans="1:23">
      <c r="A26" s="29">
        <v>21</v>
      </c>
      <c r="B26" s="30" t="s">
        <v>40</v>
      </c>
      <c r="C26" s="31">
        <v>618191</v>
      </c>
      <c r="D26" s="31"/>
      <c r="E26" s="32">
        <v>0</v>
      </c>
      <c r="F26" s="31">
        <v>0</v>
      </c>
      <c r="G26" s="32"/>
      <c r="H26" s="31">
        <f t="shared" si="0"/>
        <v>0</v>
      </c>
      <c r="I26" s="31">
        <f t="shared" si="7"/>
        <v>618191</v>
      </c>
      <c r="J26" s="37">
        <v>156433.94</v>
      </c>
      <c r="K26" s="37">
        <f>10288.39+7000+616.5</f>
        <v>17904.89</v>
      </c>
      <c r="L26" s="31"/>
      <c r="M26" s="31">
        <f t="shared" si="1"/>
        <v>174338.83000000002</v>
      </c>
      <c r="N26" s="33">
        <f t="shared" si="2"/>
        <v>0.28201450684335427</v>
      </c>
      <c r="O26" s="31">
        <f t="shared" si="3"/>
        <v>443852.17</v>
      </c>
      <c r="P26" s="31">
        <f t="shared" si="11"/>
        <v>8716.9415000000008</v>
      </c>
      <c r="Q26" s="36"/>
      <c r="S26" s="44">
        <v>6921.2000000000007</v>
      </c>
      <c r="T26" s="41">
        <v>900.5</v>
      </c>
      <c r="U26" s="26">
        <f t="shared" si="5"/>
        <v>7821.7000000000007</v>
      </c>
      <c r="W26" s="26">
        <f t="shared" si="6"/>
        <v>895.24150000000009</v>
      </c>
    </row>
    <row r="27" spans="1:23">
      <c r="A27" s="29">
        <v>22</v>
      </c>
      <c r="B27" s="30" t="s">
        <v>41</v>
      </c>
      <c r="C27" s="31">
        <f>10938+119338</f>
        <v>130276</v>
      </c>
      <c r="D27" s="31"/>
      <c r="E27" s="32">
        <v>0</v>
      </c>
      <c r="F27" s="31">
        <v>0</v>
      </c>
      <c r="G27" s="32"/>
      <c r="H27" s="31">
        <f t="shared" si="0"/>
        <v>0</v>
      </c>
      <c r="I27" s="31">
        <f t="shared" si="7"/>
        <v>130276</v>
      </c>
      <c r="J27" s="37">
        <v>106074.02</v>
      </c>
      <c r="K27" s="37">
        <v>8380.4</v>
      </c>
      <c r="L27" s="31"/>
      <c r="M27" s="31">
        <f t="shared" si="1"/>
        <v>114454.42</v>
      </c>
      <c r="N27" s="33">
        <f t="shared" si="2"/>
        <v>0.87855337898001162</v>
      </c>
      <c r="O27" s="31">
        <f t="shared" si="3"/>
        <v>15821.580000000002</v>
      </c>
      <c r="P27" s="31">
        <f t="shared" si="11"/>
        <v>5722.7210000000005</v>
      </c>
      <c r="Q27" s="36"/>
      <c r="S27" s="44">
        <v>4899.68</v>
      </c>
      <c r="T27" s="41">
        <v>404.02</v>
      </c>
      <c r="U27" s="26">
        <f t="shared" si="5"/>
        <v>5303.7000000000007</v>
      </c>
      <c r="W27" s="26">
        <f t="shared" si="6"/>
        <v>419.02099999999973</v>
      </c>
    </row>
    <row r="28" spans="1:23">
      <c r="A28" s="29">
        <v>23</v>
      </c>
      <c r="B28" s="30" t="s">
        <v>59</v>
      </c>
      <c r="C28" s="31">
        <v>36887</v>
      </c>
      <c r="D28" s="31">
        <v>57.91</v>
      </c>
      <c r="E28" s="32">
        <v>1914.2400000000052</v>
      </c>
      <c r="F28" s="31">
        <v>21298.76</v>
      </c>
      <c r="G28" s="32"/>
      <c r="H28" s="31">
        <f>F28+G28</f>
        <v>21298.76</v>
      </c>
      <c r="I28" s="31">
        <f>C28+(D28+E28+H28)</f>
        <v>60157.91</v>
      </c>
      <c r="J28" s="37">
        <v>45658.700000000004</v>
      </c>
      <c r="K28" s="37">
        <f>5441.43</f>
        <v>5441.43</v>
      </c>
      <c r="L28" s="31"/>
      <c r="M28" s="31">
        <f t="shared" si="1"/>
        <v>51100.130000000005</v>
      </c>
      <c r="N28" s="33">
        <f t="shared" si="2"/>
        <v>0.84943326654799012</v>
      </c>
      <c r="O28" s="31">
        <f t="shared" si="3"/>
        <v>9057.7799999999988</v>
      </c>
      <c r="P28" s="31">
        <f t="shared" si="11"/>
        <v>2555.0065000000004</v>
      </c>
      <c r="Q28" s="36"/>
      <c r="S28" s="44">
        <v>1752.98</v>
      </c>
      <c r="T28" s="41">
        <v>529.95000000000005</v>
      </c>
      <c r="U28" s="26">
        <f t="shared" si="5"/>
        <v>2282.9300000000003</v>
      </c>
      <c r="W28" s="26">
        <f t="shared" si="6"/>
        <v>272.07650000000012</v>
      </c>
    </row>
    <row r="29" spans="1:23">
      <c r="A29" s="29">
        <v>24</v>
      </c>
      <c r="B29" s="30" t="s">
        <v>42</v>
      </c>
      <c r="C29" s="31">
        <f>50000+43750+12606+35578+122730</f>
        <v>264664</v>
      </c>
      <c r="D29" s="31">
        <v>-57.91</v>
      </c>
      <c r="E29" s="32">
        <v>-25026.200000000012</v>
      </c>
      <c r="F29" s="31">
        <v>0</v>
      </c>
      <c r="G29" s="32"/>
      <c r="H29" s="31">
        <f t="shared" si="0"/>
        <v>0</v>
      </c>
      <c r="I29" s="31">
        <f t="shared" si="7"/>
        <v>239579.88999999998</v>
      </c>
      <c r="J29" s="37">
        <v>128772.81000000003</v>
      </c>
      <c r="K29" s="37">
        <f>50+1076.36+1692.25</f>
        <v>2818.6099999999997</v>
      </c>
      <c r="L29" s="31"/>
      <c r="M29" s="31">
        <f t="shared" si="1"/>
        <v>131591.42000000001</v>
      </c>
      <c r="N29" s="33">
        <f t="shared" si="2"/>
        <v>0.54925903839424928</v>
      </c>
      <c r="O29" s="31">
        <f t="shared" si="3"/>
        <v>107988.46999999997</v>
      </c>
      <c r="P29" s="31">
        <f t="shared" si="11"/>
        <v>6579.5710000000008</v>
      </c>
      <c r="Q29" s="36"/>
      <c r="S29" s="44">
        <v>5741.1</v>
      </c>
      <c r="T29" s="41">
        <v>697.54</v>
      </c>
      <c r="U29" s="26">
        <f t="shared" si="5"/>
        <v>6438.64</v>
      </c>
      <c r="W29" s="26">
        <f t="shared" si="6"/>
        <v>140.93100000000049</v>
      </c>
    </row>
    <row r="30" spans="1:23">
      <c r="A30" s="29">
        <v>25</v>
      </c>
      <c r="B30" s="30" t="s">
        <v>43</v>
      </c>
      <c r="C30" s="31">
        <f>300000+200000+360000</f>
        <v>860000</v>
      </c>
      <c r="D30" s="31">
        <v>-25155.16</v>
      </c>
      <c r="E30" s="32">
        <v>25026.199999999953</v>
      </c>
      <c r="F30" s="31">
        <v>7400</v>
      </c>
      <c r="G30" s="32"/>
      <c r="H30" s="31">
        <f t="shared" si="0"/>
        <v>7400</v>
      </c>
      <c r="I30" s="31">
        <f t="shared" si="7"/>
        <v>867271.03999999992</v>
      </c>
      <c r="J30" s="37">
        <v>678952.84000000008</v>
      </c>
      <c r="K30" s="37">
        <f>7250.23+26664.68</f>
        <v>33914.910000000003</v>
      </c>
      <c r="L30" s="31"/>
      <c r="M30" s="31">
        <f t="shared" si="1"/>
        <v>712867.75000000012</v>
      </c>
      <c r="N30" s="33">
        <f t="shared" si="2"/>
        <v>0.82196651003128174</v>
      </c>
      <c r="O30" s="31">
        <f t="shared" si="3"/>
        <v>154403.2899999998</v>
      </c>
      <c r="P30" s="31">
        <f t="shared" si="11"/>
        <v>35643.387500000004</v>
      </c>
      <c r="Q30" s="36"/>
      <c r="S30" s="44">
        <v>31238.69</v>
      </c>
      <c r="T30" s="41">
        <v>2708.95</v>
      </c>
      <c r="U30" s="26">
        <f t="shared" si="5"/>
        <v>33947.64</v>
      </c>
      <c r="W30" s="26">
        <f t="shared" si="6"/>
        <v>1695.7475000000049</v>
      </c>
    </row>
    <row r="31" spans="1:23">
      <c r="A31" s="29">
        <v>26</v>
      </c>
      <c r="B31" s="30" t="s">
        <v>44</v>
      </c>
      <c r="C31" s="31">
        <v>456066</v>
      </c>
      <c r="D31" s="31">
        <v>128.96</v>
      </c>
      <c r="E31" s="32">
        <v>0</v>
      </c>
      <c r="F31" s="31">
        <v>25889</v>
      </c>
      <c r="G31" s="32"/>
      <c r="H31" s="31">
        <f t="shared" si="0"/>
        <v>25889</v>
      </c>
      <c r="I31" s="31">
        <f t="shared" si="7"/>
        <v>482083.96</v>
      </c>
      <c r="J31" s="37">
        <v>270223.93</v>
      </c>
      <c r="K31" s="37">
        <v>28066.74</v>
      </c>
      <c r="L31" s="31"/>
      <c r="M31" s="31">
        <f t="shared" si="1"/>
        <v>298290.67</v>
      </c>
      <c r="N31" s="33">
        <f t="shared" si="2"/>
        <v>0.61875253016092879</v>
      </c>
      <c r="O31" s="31">
        <f t="shared" si="3"/>
        <v>183793.29000000004</v>
      </c>
      <c r="P31" s="31">
        <f t="shared" si="11"/>
        <v>14914.5335</v>
      </c>
      <c r="Q31" s="36"/>
      <c r="S31" s="44">
        <v>12122.27</v>
      </c>
      <c r="T31" s="41">
        <v>1388.93</v>
      </c>
      <c r="U31" s="26">
        <f t="shared" si="5"/>
        <v>13511.2</v>
      </c>
      <c r="W31" s="26">
        <f t="shared" si="6"/>
        <v>1403.3334999999988</v>
      </c>
    </row>
    <row r="32" spans="1:23">
      <c r="A32" s="29">
        <v>27</v>
      </c>
      <c r="B32" s="30" t="s">
        <v>48</v>
      </c>
      <c r="C32" s="31">
        <f>97368+80000+149398+285912+46545+65000+35000+138953+12000</f>
        <v>910176</v>
      </c>
      <c r="D32" s="31"/>
      <c r="E32" s="32">
        <v>-90773.24</v>
      </c>
      <c r="F32" s="31">
        <v>0</v>
      </c>
      <c r="G32" s="32"/>
      <c r="H32" s="31">
        <f t="shared" si="0"/>
        <v>0</v>
      </c>
      <c r="I32" s="31">
        <f t="shared" si="7"/>
        <v>819402.76</v>
      </c>
      <c r="J32" s="37">
        <v>492655.54</v>
      </c>
      <c r="K32" s="37">
        <f>21524.79+5870.24</f>
        <v>27395.03</v>
      </c>
      <c r="L32" s="31"/>
      <c r="M32" s="31">
        <f t="shared" si="1"/>
        <v>520050.56999999995</v>
      </c>
      <c r="N32" s="33">
        <f t="shared" si="2"/>
        <v>0.63467026886753464</v>
      </c>
      <c r="O32" s="31">
        <f t="shared" si="3"/>
        <v>299352.19000000006</v>
      </c>
      <c r="P32" s="31">
        <f t="shared" si="11"/>
        <v>26002.5285</v>
      </c>
      <c r="Q32" s="36"/>
      <c r="S32" s="44">
        <v>22730.16</v>
      </c>
      <c r="T32" s="41">
        <v>1902.61</v>
      </c>
      <c r="U32" s="26">
        <f t="shared" si="5"/>
        <v>24632.77</v>
      </c>
      <c r="W32" s="26">
        <f t="shared" si="6"/>
        <v>1369.7584999999999</v>
      </c>
    </row>
    <row r="33" spans="1:23">
      <c r="A33" s="29">
        <v>28</v>
      </c>
      <c r="B33" s="30" t="s">
        <v>60</v>
      </c>
      <c r="C33" s="31">
        <f>25000+25000</f>
        <v>50000</v>
      </c>
      <c r="D33" s="31"/>
      <c r="E33" s="32">
        <v>0</v>
      </c>
      <c r="F33" s="31">
        <v>0</v>
      </c>
      <c r="G33" s="32"/>
      <c r="H33" s="31">
        <f t="shared" si="0"/>
        <v>0</v>
      </c>
      <c r="I33" s="31">
        <f t="shared" si="7"/>
        <v>50000</v>
      </c>
      <c r="J33" s="37">
        <v>26866.710000000003</v>
      </c>
      <c r="K33" s="37">
        <v>0</v>
      </c>
      <c r="L33" s="31"/>
      <c r="M33" s="31">
        <f t="shared" si="1"/>
        <v>26866.710000000003</v>
      </c>
      <c r="N33" s="33">
        <f t="shared" si="2"/>
        <v>0.5373342000000001</v>
      </c>
      <c r="O33" s="31">
        <f t="shared" si="3"/>
        <v>23133.289999999997</v>
      </c>
      <c r="P33" s="31">
        <f t="shared" si="11"/>
        <v>1343.3355000000001</v>
      </c>
      <c r="Q33" s="36"/>
      <c r="S33" s="44">
        <v>1268.5800000000002</v>
      </c>
      <c r="T33" s="41">
        <v>74.760000000000005</v>
      </c>
      <c r="U33" s="26">
        <f t="shared" si="5"/>
        <v>1343.3400000000001</v>
      </c>
      <c r="W33" s="26">
        <f t="shared" si="6"/>
        <v>-4.500000000007276E-3</v>
      </c>
    </row>
    <row r="34" spans="1:23">
      <c r="A34" s="29">
        <v>29</v>
      </c>
      <c r="B34" s="30" t="s">
        <v>61</v>
      </c>
      <c r="C34" s="31">
        <v>40000</v>
      </c>
      <c r="D34" s="31"/>
      <c r="E34" s="32">
        <v>0</v>
      </c>
      <c r="F34" s="31">
        <v>-33700</v>
      </c>
      <c r="G34" s="32"/>
      <c r="H34" s="31">
        <f t="shared" si="0"/>
        <v>-33700</v>
      </c>
      <c r="I34" s="31">
        <f t="shared" si="7"/>
        <v>6300</v>
      </c>
      <c r="J34" s="37">
        <v>0</v>
      </c>
      <c r="K34" s="37">
        <v>0</v>
      </c>
      <c r="L34" s="31"/>
      <c r="M34" s="31">
        <f t="shared" si="1"/>
        <v>0</v>
      </c>
      <c r="N34" s="33">
        <f>M34/I34</f>
        <v>0</v>
      </c>
      <c r="O34" s="31">
        <f t="shared" si="3"/>
        <v>6300</v>
      </c>
      <c r="P34" s="31">
        <f t="shared" si="11"/>
        <v>0</v>
      </c>
      <c r="Q34" s="36"/>
      <c r="S34" s="44">
        <v>0</v>
      </c>
      <c r="T34" s="41">
        <v>0</v>
      </c>
      <c r="U34" s="26">
        <f t="shared" si="5"/>
        <v>0</v>
      </c>
      <c r="W34" s="26">
        <f t="shared" si="6"/>
        <v>0</v>
      </c>
    </row>
    <row r="35" spans="1:23">
      <c r="A35" s="29">
        <v>30</v>
      </c>
      <c r="B35" s="30" t="s">
        <v>62</v>
      </c>
      <c r="C35" s="31">
        <v>28800</v>
      </c>
      <c r="D35" s="31">
        <v>-2085</v>
      </c>
      <c r="E35" s="32">
        <v>0</v>
      </c>
      <c r="F35" s="31">
        <v>0</v>
      </c>
      <c r="G35" s="32"/>
      <c r="H35" s="31">
        <f t="shared" si="0"/>
        <v>0</v>
      </c>
      <c r="I35" s="31">
        <f t="shared" si="7"/>
        <v>26715</v>
      </c>
      <c r="J35" s="37">
        <v>0</v>
      </c>
      <c r="K35" s="37">
        <v>0</v>
      </c>
      <c r="L35" s="31"/>
      <c r="M35" s="31">
        <f t="shared" si="1"/>
        <v>0</v>
      </c>
      <c r="N35" s="33">
        <f t="shared" si="2"/>
        <v>0</v>
      </c>
      <c r="O35" s="31">
        <f t="shared" si="3"/>
        <v>26715</v>
      </c>
      <c r="P35" s="31">
        <f t="shared" si="11"/>
        <v>0</v>
      </c>
      <c r="Q35" s="36"/>
      <c r="S35" s="44">
        <v>0</v>
      </c>
      <c r="T35" s="41">
        <v>0</v>
      </c>
      <c r="U35" s="26">
        <f t="shared" si="5"/>
        <v>0</v>
      </c>
      <c r="W35" s="26">
        <f t="shared" si="6"/>
        <v>0</v>
      </c>
    </row>
    <row r="36" spans="1:23">
      <c r="A36" s="29">
        <v>31</v>
      </c>
      <c r="B36" s="30" t="s">
        <v>49</v>
      </c>
      <c r="C36" s="31">
        <f>25000+15000+48305+26008+1170+480</f>
        <v>115963</v>
      </c>
      <c r="D36" s="31">
        <v>21019.27</v>
      </c>
      <c r="E36" s="32">
        <v>108754.64</v>
      </c>
      <c r="F36" s="31">
        <v>-7623.9100000000035</v>
      </c>
      <c r="G36" s="32"/>
      <c r="H36" s="31">
        <f t="shared" si="0"/>
        <v>-7623.9100000000035</v>
      </c>
      <c r="I36" s="31">
        <f t="shared" si="7"/>
        <v>238113</v>
      </c>
      <c r="J36" s="37">
        <v>129358.36</v>
      </c>
      <c r="K36" s="37">
        <f>576+288</f>
        <v>864</v>
      </c>
      <c r="L36" s="31"/>
      <c r="M36" s="31">
        <f t="shared" si="1"/>
        <v>130222.36</v>
      </c>
      <c r="N36" s="33">
        <f t="shared" si="2"/>
        <v>0.54689311377371252</v>
      </c>
      <c r="O36" s="31">
        <f t="shared" si="3"/>
        <v>107890.64</v>
      </c>
      <c r="P36" s="31">
        <f t="shared" si="11"/>
        <v>6511.1180000000004</v>
      </c>
      <c r="Q36" s="36"/>
      <c r="S36" s="44">
        <v>5289.79</v>
      </c>
      <c r="T36" s="41">
        <v>1178.1300000000001</v>
      </c>
      <c r="U36" s="26">
        <f t="shared" si="5"/>
        <v>6467.92</v>
      </c>
      <c r="W36" s="26">
        <f t="shared" si="6"/>
        <v>43.19800000000032</v>
      </c>
    </row>
    <row r="37" spans="1:23">
      <c r="A37" s="29">
        <v>32</v>
      </c>
      <c r="B37" s="30" t="s">
        <v>50</v>
      </c>
      <c r="C37" s="31">
        <v>121693</v>
      </c>
      <c r="D37" s="31">
        <v>-21019.27</v>
      </c>
      <c r="E37" s="32">
        <v>5234.1600000000326</v>
      </c>
      <c r="F37" s="31">
        <v>351850.14999999997</v>
      </c>
      <c r="G37" s="32"/>
      <c r="H37" s="31">
        <f t="shared" si="0"/>
        <v>351850.14999999997</v>
      </c>
      <c r="I37" s="31">
        <f t="shared" si="7"/>
        <v>457758.04</v>
      </c>
      <c r="J37" s="37">
        <v>0</v>
      </c>
      <c r="K37" s="37">
        <f>1576.05+4284+442.34</f>
        <v>6302.39</v>
      </c>
      <c r="L37" s="31"/>
      <c r="M37" s="31">
        <f t="shared" si="1"/>
        <v>6302.39</v>
      </c>
      <c r="N37" s="33">
        <f t="shared" si="2"/>
        <v>1.3767950422017712E-2</v>
      </c>
      <c r="O37" s="31">
        <f t="shared" si="3"/>
        <v>451455.64999999997</v>
      </c>
      <c r="P37" s="31">
        <f t="shared" si="11"/>
        <v>315.11950000000002</v>
      </c>
      <c r="Q37" s="36"/>
      <c r="S37" s="44">
        <v>0</v>
      </c>
      <c r="T37" s="41">
        <v>0</v>
      </c>
      <c r="U37" s="26">
        <f t="shared" si="5"/>
        <v>0</v>
      </c>
      <c r="W37" s="26">
        <f t="shared" si="6"/>
        <v>315.11950000000002</v>
      </c>
    </row>
    <row r="38" spans="1:23">
      <c r="A38" s="29">
        <v>33</v>
      </c>
      <c r="B38" s="30" t="s">
        <v>63</v>
      </c>
      <c r="C38" s="31">
        <f>11921+8184</f>
        <v>20105</v>
      </c>
      <c r="D38" s="31"/>
      <c r="E38" s="32">
        <v>0</v>
      </c>
      <c r="F38" s="31">
        <v>0</v>
      </c>
      <c r="G38" s="32"/>
      <c r="H38" s="31">
        <f t="shared" si="0"/>
        <v>0</v>
      </c>
      <c r="I38" s="31">
        <f t="shared" si="7"/>
        <v>20105</v>
      </c>
      <c r="J38" s="37">
        <v>0</v>
      </c>
      <c r="K38" s="37">
        <v>0</v>
      </c>
      <c r="L38" s="31"/>
      <c r="M38" s="31">
        <f t="shared" si="1"/>
        <v>0</v>
      </c>
      <c r="N38" s="33">
        <f t="shared" si="2"/>
        <v>0</v>
      </c>
      <c r="O38" s="31">
        <f t="shared" si="3"/>
        <v>20105</v>
      </c>
      <c r="P38" s="31">
        <f t="shared" si="11"/>
        <v>0</v>
      </c>
      <c r="Q38" s="36"/>
      <c r="S38" s="44">
        <v>0</v>
      </c>
      <c r="T38" s="41">
        <v>0</v>
      </c>
      <c r="U38" s="26">
        <f t="shared" si="5"/>
        <v>0</v>
      </c>
      <c r="W38" s="26">
        <f t="shared" si="6"/>
        <v>0</v>
      </c>
    </row>
    <row r="39" spans="1:23">
      <c r="A39" s="29">
        <v>34</v>
      </c>
      <c r="B39" s="30" t="s">
        <v>64</v>
      </c>
      <c r="C39" s="31">
        <v>126251</v>
      </c>
      <c r="D39" s="31"/>
      <c r="E39" s="32">
        <v>9306.6499999999942</v>
      </c>
      <c r="F39" s="31">
        <v>27490</v>
      </c>
      <c r="G39" s="32"/>
      <c r="H39" s="31">
        <f t="shared" si="0"/>
        <v>27490</v>
      </c>
      <c r="I39" s="31">
        <f t="shared" si="7"/>
        <v>163047.65</v>
      </c>
      <c r="J39" s="37">
        <v>26118.68</v>
      </c>
      <c r="K39" s="37">
        <v>144</v>
      </c>
      <c r="L39" s="31"/>
      <c r="M39" s="31">
        <f t="shared" si="1"/>
        <v>26262.68</v>
      </c>
      <c r="N39" s="33">
        <f t="shared" si="2"/>
        <v>0.16107364932889251</v>
      </c>
      <c r="O39" s="31">
        <f t="shared" si="3"/>
        <v>136784.97</v>
      </c>
      <c r="P39" s="31">
        <f t="shared" si="11"/>
        <v>1313.134</v>
      </c>
      <c r="Q39" s="36"/>
      <c r="S39" s="44">
        <v>927.42000000000007</v>
      </c>
      <c r="T39" s="41">
        <v>378.52</v>
      </c>
      <c r="U39" s="26">
        <f t="shared" si="5"/>
        <v>1305.94</v>
      </c>
      <c r="W39" s="26">
        <f t="shared" si="6"/>
        <v>7.19399999999996</v>
      </c>
    </row>
    <row r="40" spans="1:23">
      <c r="A40" s="29">
        <v>35</v>
      </c>
      <c r="B40" s="30" t="s">
        <v>5</v>
      </c>
      <c r="C40" s="31">
        <f>3897+13910+2000+16050+15587+53500+4286+4601+4676+6420+14547+28088</f>
        <v>167562</v>
      </c>
      <c r="D40" s="31"/>
      <c r="E40" s="32">
        <v>1628</v>
      </c>
      <c r="F40" s="31">
        <v>113682.95</v>
      </c>
      <c r="G40" s="32"/>
      <c r="H40" s="31">
        <f t="shared" si="0"/>
        <v>113682.95</v>
      </c>
      <c r="I40" s="31">
        <f t="shared" si="7"/>
        <v>282872.95</v>
      </c>
      <c r="J40" s="37">
        <v>18450.669999999998</v>
      </c>
      <c r="K40" s="37">
        <f>34195.8</f>
        <v>34195.800000000003</v>
      </c>
      <c r="L40" s="31"/>
      <c r="M40" s="31">
        <f t="shared" si="1"/>
        <v>52646.47</v>
      </c>
      <c r="N40" s="33">
        <f t="shared" si="2"/>
        <v>0.18611348310257309</v>
      </c>
      <c r="O40" s="31">
        <f t="shared" si="3"/>
        <v>230226.48</v>
      </c>
      <c r="P40" s="31">
        <f t="shared" si="11"/>
        <v>2632.3235000000004</v>
      </c>
      <c r="Q40" s="36"/>
      <c r="S40" s="44">
        <v>759.3</v>
      </c>
      <c r="T40" s="41">
        <v>163.22999999999999</v>
      </c>
      <c r="U40" s="26">
        <f t="shared" si="5"/>
        <v>922.53</v>
      </c>
      <c r="W40" s="26">
        <f t="shared" si="6"/>
        <v>1709.7935000000004</v>
      </c>
    </row>
    <row r="41" spans="1:23">
      <c r="A41" s="29">
        <v>36</v>
      </c>
      <c r="B41" s="30" t="s">
        <v>51</v>
      </c>
      <c r="C41" s="31">
        <f>80271+64200+50000</f>
        <v>194471</v>
      </c>
      <c r="D41" s="31">
        <v>-75000</v>
      </c>
      <c r="E41" s="32">
        <v>-1035</v>
      </c>
      <c r="F41" s="31">
        <v>75786</v>
      </c>
      <c r="G41" s="32"/>
      <c r="H41" s="31">
        <f t="shared" si="0"/>
        <v>75786</v>
      </c>
      <c r="I41" s="31">
        <f t="shared" si="7"/>
        <v>194222</v>
      </c>
      <c r="J41" s="37">
        <v>0</v>
      </c>
      <c r="K41" s="37">
        <v>24237.5</v>
      </c>
      <c r="L41" s="31"/>
      <c r="M41" s="31">
        <f t="shared" si="1"/>
        <v>24237.5</v>
      </c>
      <c r="N41" s="33">
        <f t="shared" si="2"/>
        <v>0.12479276292078137</v>
      </c>
      <c r="O41" s="31">
        <f t="shared" si="3"/>
        <v>169984.5</v>
      </c>
      <c r="P41" s="31">
        <f t="shared" si="11"/>
        <v>1211.875</v>
      </c>
      <c r="Q41" s="36"/>
      <c r="S41" s="44">
        <v>0</v>
      </c>
      <c r="T41" s="41">
        <v>0</v>
      </c>
      <c r="U41" s="26">
        <f t="shared" si="5"/>
        <v>0</v>
      </c>
      <c r="W41" s="26">
        <f t="shared" si="6"/>
        <v>1211.875</v>
      </c>
    </row>
    <row r="42" spans="1:23">
      <c r="A42" s="29">
        <v>37</v>
      </c>
      <c r="B42" s="30" t="s">
        <v>65</v>
      </c>
      <c r="C42" s="31">
        <v>57900</v>
      </c>
      <c r="D42" s="31"/>
      <c r="E42" s="32">
        <v>1470</v>
      </c>
      <c r="F42" s="31">
        <v>0</v>
      </c>
      <c r="G42" s="32"/>
      <c r="H42" s="31">
        <f t="shared" si="0"/>
        <v>0</v>
      </c>
      <c r="I42" s="31">
        <f t="shared" si="7"/>
        <v>59370</v>
      </c>
      <c r="J42" s="37">
        <v>29467.5</v>
      </c>
      <c r="K42" s="37">
        <v>0</v>
      </c>
      <c r="L42" s="31"/>
      <c r="M42" s="31">
        <f t="shared" si="1"/>
        <v>29467.5</v>
      </c>
      <c r="N42" s="33">
        <f t="shared" si="2"/>
        <v>0.4963365336028297</v>
      </c>
      <c r="O42" s="31">
        <f t="shared" si="3"/>
        <v>29902.5</v>
      </c>
      <c r="P42" s="31">
        <f t="shared" si="11"/>
        <v>1473.375</v>
      </c>
      <c r="Q42" s="36"/>
      <c r="S42" s="44">
        <v>1473.38</v>
      </c>
      <c r="T42" s="41">
        <v>0</v>
      </c>
      <c r="U42" s="26">
        <f t="shared" si="5"/>
        <v>1473.38</v>
      </c>
      <c r="W42" s="26">
        <f t="shared" si="6"/>
        <v>-5.0000000001091394E-3</v>
      </c>
    </row>
    <row r="43" spans="1:23">
      <c r="A43" s="29">
        <v>38</v>
      </c>
      <c r="B43" s="30" t="s">
        <v>96</v>
      </c>
      <c r="C43" s="31">
        <v>901961</v>
      </c>
      <c r="D43" s="31"/>
      <c r="E43" s="32">
        <v>0</v>
      </c>
      <c r="F43" s="31">
        <v>0</v>
      </c>
      <c r="G43" s="32"/>
      <c r="H43" s="31">
        <f t="shared" si="0"/>
        <v>0</v>
      </c>
      <c r="I43" s="31">
        <f t="shared" si="7"/>
        <v>901961</v>
      </c>
      <c r="J43" s="37">
        <v>762885.29999999993</v>
      </c>
      <c r="K43" s="37">
        <v>0</v>
      </c>
      <c r="L43" s="31"/>
      <c r="M43" s="31">
        <f t="shared" si="1"/>
        <v>762885.29999999993</v>
      </c>
      <c r="N43" s="33">
        <f t="shared" si="2"/>
        <v>0.84580741295909678</v>
      </c>
      <c r="O43" s="31">
        <f t="shared" si="3"/>
        <v>139075.70000000007</v>
      </c>
      <c r="P43" s="31">
        <f t="shared" si="11"/>
        <v>38144.264999999999</v>
      </c>
      <c r="Q43" s="36"/>
      <c r="S43" s="44">
        <v>38144.269999999997</v>
      </c>
      <c r="T43" s="41">
        <v>0</v>
      </c>
      <c r="U43" s="26">
        <f t="shared" si="5"/>
        <v>38144.269999999997</v>
      </c>
      <c r="W43" s="26">
        <f t="shared" si="6"/>
        <v>-4.9999999973806553E-3</v>
      </c>
    </row>
    <row r="44" spans="1:23">
      <c r="A44" s="29">
        <v>39</v>
      </c>
      <c r="B44" s="30" t="s">
        <v>95</v>
      </c>
      <c r="C44" s="31">
        <f>14407+20700</f>
        <v>35107</v>
      </c>
      <c r="D44" s="31"/>
      <c r="E44" s="32">
        <v>0</v>
      </c>
      <c r="F44" s="31">
        <v>0</v>
      </c>
      <c r="G44" s="32"/>
      <c r="H44" s="31">
        <f t="shared" si="0"/>
        <v>0</v>
      </c>
      <c r="I44" s="31">
        <f t="shared" si="7"/>
        <v>35107</v>
      </c>
      <c r="J44" s="37">
        <v>17178.09</v>
      </c>
      <c r="K44" s="37">
        <v>1300</v>
      </c>
      <c r="L44" s="31"/>
      <c r="M44" s="31">
        <f t="shared" si="1"/>
        <v>18478.09</v>
      </c>
      <c r="N44" s="33">
        <f t="shared" si="2"/>
        <v>0.52633634317942291</v>
      </c>
      <c r="O44" s="31">
        <f t="shared" si="3"/>
        <v>16628.91</v>
      </c>
      <c r="P44" s="31">
        <f t="shared" si="11"/>
        <v>923.9045000000001</v>
      </c>
      <c r="Q44" s="36"/>
      <c r="S44" s="44">
        <v>843.9</v>
      </c>
      <c r="T44" s="41">
        <v>15</v>
      </c>
      <c r="U44" s="26">
        <f t="shared" si="5"/>
        <v>858.9</v>
      </c>
      <c r="W44" s="26">
        <f t="shared" si="6"/>
        <v>65.004500000000121</v>
      </c>
    </row>
    <row r="45" spans="1:23" ht="15">
      <c r="A45" s="29">
        <v>40</v>
      </c>
      <c r="B45" s="30" t="s">
        <v>94</v>
      </c>
      <c r="C45" s="31">
        <v>202000</v>
      </c>
      <c r="D45" s="31">
        <v>-4500</v>
      </c>
      <c r="E45" s="32">
        <v>4500</v>
      </c>
      <c r="F45" s="31">
        <v>0</v>
      </c>
      <c r="G45" s="32"/>
      <c r="H45" s="31">
        <f t="shared" si="0"/>
        <v>0</v>
      </c>
      <c r="I45" s="31">
        <f t="shared" si="7"/>
        <v>202000</v>
      </c>
      <c r="J45" s="37">
        <v>197500</v>
      </c>
      <c r="K45" s="37">
        <v>0</v>
      </c>
      <c r="L45" s="31"/>
      <c r="M45" s="31">
        <f t="shared" si="1"/>
        <v>197500</v>
      </c>
      <c r="N45" s="33">
        <f t="shared" si="2"/>
        <v>0.9777227722772277</v>
      </c>
      <c r="O45" s="31">
        <f t="shared" si="3"/>
        <v>4500</v>
      </c>
      <c r="P45" s="31">
        <f>M45*0.05-9875</f>
        <v>0</v>
      </c>
      <c r="Q45" s="36"/>
      <c r="R45" s="40" t="s">
        <v>97</v>
      </c>
      <c r="S45" s="45">
        <v>0</v>
      </c>
      <c r="T45" s="42">
        <v>0</v>
      </c>
      <c r="U45" s="26">
        <f t="shared" si="5"/>
        <v>0</v>
      </c>
      <c r="W45" s="26">
        <f t="shared" si="6"/>
        <v>0</v>
      </c>
    </row>
    <row r="46" spans="1:23">
      <c r="A46" s="29">
        <v>41</v>
      </c>
      <c r="B46" s="30" t="s">
        <v>93</v>
      </c>
      <c r="C46" s="31">
        <v>1012164</v>
      </c>
      <c r="D46" s="31">
        <v>5611.8</v>
      </c>
      <c r="E46" s="32">
        <v>0</v>
      </c>
      <c r="F46" s="31">
        <v>0</v>
      </c>
      <c r="G46" s="32"/>
      <c r="H46" s="31">
        <f t="shared" si="0"/>
        <v>0</v>
      </c>
      <c r="I46" s="31">
        <f t="shared" si="7"/>
        <v>1017775.8</v>
      </c>
      <c r="J46" s="37">
        <v>338612</v>
      </c>
      <c r="K46" s="37">
        <v>0</v>
      </c>
      <c r="L46" s="31"/>
      <c r="M46" s="31">
        <f t="shared" si="1"/>
        <v>338612</v>
      </c>
      <c r="N46" s="33">
        <f t="shared" si="2"/>
        <v>0.33269802642192908</v>
      </c>
      <c r="O46" s="31">
        <f t="shared" si="3"/>
        <v>679163.8</v>
      </c>
      <c r="P46" s="31">
        <f t="shared" si="11"/>
        <v>16930.600000000002</v>
      </c>
      <c r="Q46" s="36"/>
      <c r="S46" s="44">
        <v>0</v>
      </c>
      <c r="T46" s="41">
        <v>16930.599999999999</v>
      </c>
      <c r="U46" s="26">
        <f t="shared" si="5"/>
        <v>16930.599999999999</v>
      </c>
      <c r="W46" s="26">
        <f t="shared" si="6"/>
        <v>0</v>
      </c>
    </row>
    <row r="47" spans="1:23">
      <c r="A47" s="29">
        <v>42</v>
      </c>
      <c r="B47" s="30" t="s">
        <v>66</v>
      </c>
      <c r="C47" s="31">
        <v>76600</v>
      </c>
      <c r="D47" s="31"/>
      <c r="E47" s="32">
        <v>-0.49000000000523869</v>
      </c>
      <c r="F47" s="31">
        <v>0</v>
      </c>
      <c r="G47" s="32"/>
      <c r="H47" s="31">
        <f t="shared" si="0"/>
        <v>0</v>
      </c>
      <c r="I47" s="31">
        <f t="shared" si="7"/>
        <v>76599.509999999995</v>
      </c>
      <c r="J47" s="37">
        <v>397.5</v>
      </c>
      <c r="K47" s="37">
        <v>0</v>
      </c>
      <c r="L47" s="31"/>
      <c r="M47" s="31">
        <f t="shared" si="1"/>
        <v>397.5</v>
      </c>
      <c r="N47" s="33">
        <f t="shared" si="2"/>
        <v>5.1893282346062008E-3</v>
      </c>
      <c r="O47" s="31">
        <f t="shared" si="3"/>
        <v>76202.009999999995</v>
      </c>
      <c r="P47" s="31">
        <f t="shared" si="11"/>
        <v>19.875</v>
      </c>
      <c r="Q47" s="36"/>
      <c r="S47" s="44">
        <v>19.88</v>
      </c>
      <c r="T47" s="41">
        <v>0</v>
      </c>
      <c r="U47" s="26">
        <f t="shared" si="5"/>
        <v>19.88</v>
      </c>
      <c r="W47" s="26">
        <f t="shared" si="6"/>
        <v>-4.9999999999990052E-3</v>
      </c>
    </row>
    <row r="48" spans="1:23">
      <c r="A48" s="29">
        <v>43</v>
      </c>
      <c r="B48" s="30" t="s">
        <v>92</v>
      </c>
      <c r="C48" s="31">
        <v>630000</v>
      </c>
      <c r="D48" s="31">
        <f>6630.25+3826.2</f>
        <v>10456.450000000001</v>
      </c>
      <c r="E48" s="32">
        <v>0</v>
      </c>
      <c r="F48" s="31">
        <v>1115.77</v>
      </c>
      <c r="G48" s="32"/>
      <c r="H48" s="31">
        <f t="shared" si="0"/>
        <v>1115.77</v>
      </c>
      <c r="I48" s="31">
        <f t="shared" si="7"/>
        <v>641572.22</v>
      </c>
      <c r="J48" s="37">
        <v>641572.22</v>
      </c>
      <c r="K48" s="37">
        <v>0</v>
      </c>
      <c r="L48" s="31"/>
      <c r="M48" s="31">
        <f t="shared" si="1"/>
        <v>641572.22</v>
      </c>
      <c r="N48" s="33">
        <f t="shared" si="2"/>
        <v>1</v>
      </c>
      <c r="O48" s="31">
        <f t="shared" si="3"/>
        <v>0</v>
      </c>
      <c r="P48" s="31">
        <f t="shared" si="11"/>
        <v>32078.611000000001</v>
      </c>
      <c r="Q48" s="36"/>
      <c r="S48" s="44">
        <v>32078.61</v>
      </c>
      <c r="T48" s="41">
        <v>0</v>
      </c>
      <c r="U48" s="26">
        <f t="shared" si="5"/>
        <v>32078.61</v>
      </c>
      <c r="W48" s="26">
        <f t="shared" si="6"/>
        <v>1.0000000002037268E-3</v>
      </c>
    </row>
    <row r="49" spans="1:23">
      <c r="A49" s="29">
        <v>44</v>
      </c>
      <c r="B49" s="30" t="s">
        <v>91</v>
      </c>
      <c r="C49" s="31">
        <f>2099902+15836-12322</f>
        <v>2103416</v>
      </c>
      <c r="D49" s="31">
        <v>-6321</v>
      </c>
      <c r="E49" s="32">
        <v>9722</v>
      </c>
      <c r="F49" s="31">
        <v>3474</v>
      </c>
      <c r="G49" s="32"/>
      <c r="H49" s="31">
        <f t="shared" si="0"/>
        <v>3474</v>
      </c>
      <c r="I49" s="31">
        <f t="shared" si="7"/>
        <v>2110291</v>
      </c>
      <c r="J49" s="37">
        <v>2051893.78</v>
      </c>
      <c r="K49" s="37">
        <v>2904</v>
      </c>
      <c r="L49" s="31"/>
      <c r="M49" s="31">
        <f t="shared" si="1"/>
        <v>2054797.78</v>
      </c>
      <c r="N49" s="33">
        <f t="shared" si="2"/>
        <v>0.97370352240520386</v>
      </c>
      <c r="O49" s="31">
        <f t="shared" si="3"/>
        <v>55493.219999999972</v>
      </c>
      <c r="P49" s="31">
        <f t="shared" si="11"/>
        <v>102739.88900000001</v>
      </c>
      <c r="Q49" s="36"/>
      <c r="S49" s="44">
        <v>102594.69</v>
      </c>
      <c r="T49" s="41">
        <v>0</v>
      </c>
      <c r="U49" s="26">
        <f t="shared" si="5"/>
        <v>102594.69</v>
      </c>
      <c r="W49" s="26">
        <f t="shared" si="6"/>
        <v>145.1990000000078</v>
      </c>
    </row>
    <row r="50" spans="1:23">
      <c r="A50" s="29">
        <v>45</v>
      </c>
      <c r="B50" s="30" t="s">
        <v>90</v>
      </c>
      <c r="C50" s="31">
        <f>1173389+12322</f>
        <v>1185711</v>
      </c>
      <c r="D50" s="31">
        <v>12322</v>
      </c>
      <c r="E50" s="32">
        <v>68418</v>
      </c>
      <c r="F50" s="31">
        <v>0</v>
      </c>
      <c r="G50" s="32"/>
      <c r="H50" s="31">
        <f t="shared" si="0"/>
        <v>0</v>
      </c>
      <c r="I50" s="31">
        <f t="shared" si="7"/>
        <v>1266451</v>
      </c>
      <c r="J50" s="37">
        <v>1185711</v>
      </c>
      <c r="K50" s="37">
        <v>2650</v>
      </c>
      <c r="L50" s="31"/>
      <c r="M50" s="31">
        <f t="shared" si="1"/>
        <v>1188361</v>
      </c>
      <c r="N50" s="33">
        <f t="shared" si="2"/>
        <v>0.93833950148880607</v>
      </c>
      <c r="O50" s="31">
        <f t="shared" si="3"/>
        <v>78090</v>
      </c>
      <c r="P50" s="31">
        <f t="shared" si="11"/>
        <v>59418.05</v>
      </c>
      <c r="Q50" s="36"/>
      <c r="S50" s="44">
        <v>59285.55</v>
      </c>
      <c r="T50" s="41">
        <v>0</v>
      </c>
      <c r="U50" s="26">
        <f t="shared" si="5"/>
        <v>59285.55</v>
      </c>
      <c r="W50" s="26">
        <f t="shared" si="6"/>
        <v>132.5</v>
      </c>
    </row>
    <row r="51" spans="1:23">
      <c r="A51" s="29">
        <v>46</v>
      </c>
      <c r="B51" s="30" t="s">
        <v>71</v>
      </c>
      <c r="C51" s="31">
        <v>39950</v>
      </c>
      <c r="D51" s="31"/>
      <c r="E51" s="32">
        <v>0</v>
      </c>
      <c r="F51" s="31">
        <v>0</v>
      </c>
      <c r="G51" s="32"/>
      <c r="H51" s="31">
        <f t="shared" si="0"/>
        <v>0</v>
      </c>
      <c r="I51" s="31">
        <f t="shared" si="7"/>
        <v>39950</v>
      </c>
      <c r="J51" s="37">
        <v>39950</v>
      </c>
      <c r="K51" s="37">
        <v>0</v>
      </c>
      <c r="L51" s="31"/>
      <c r="M51" s="31">
        <f t="shared" si="1"/>
        <v>39950</v>
      </c>
      <c r="N51" s="33">
        <f t="shared" si="2"/>
        <v>1</v>
      </c>
      <c r="O51" s="31">
        <f t="shared" si="3"/>
        <v>0</v>
      </c>
      <c r="P51" s="31">
        <f t="shared" si="11"/>
        <v>1997.5</v>
      </c>
      <c r="Q51" s="36"/>
      <c r="S51" s="44">
        <v>1997.5</v>
      </c>
      <c r="T51" s="41">
        <v>0</v>
      </c>
      <c r="U51" s="26">
        <f t="shared" si="5"/>
        <v>1997.5</v>
      </c>
      <c r="W51" s="26">
        <f t="shared" si="6"/>
        <v>0</v>
      </c>
    </row>
    <row r="52" spans="1:23">
      <c r="A52" s="29">
        <v>47</v>
      </c>
      <c r="B52" s="30" t="s">
        <v>89</v>
      </c>
      <c r="C52" s="31">
        <v>929810</v>
      </c>
      <c r="D52" s="31">
        <f>24778.4+4412.49</f>
        <v>29190.89</v>
      </c>
      <c r="E52" s="32">
        <v>0</v>
      </c>
      <c r="F52" s="31">
        <v>0</v>
      </c>
      <c r="G52" s="32"/>
      <c r="H52" s="31">
        <f t="shared" si="0"/>
        <v>0</v>
      </c>
      <c r="I52" s="31">
        <f t="shared" si="7"/>
        <v>959000.89</v>
      </c>
      <c r="J52" s="37">
        <v>942737.28</v>
      </c>
      <c r="K52" s="37">
        <v>0</v>
      </c>
      <c r="L52" s="31"/>
      <c r="M52" s="31">
        <f t="shared" si="1"/>
        <v>942737.28</v>
      </c>
      <c r="N52" s="33">
        <f t="shared" si="2"/>
        <v>0.98304108977417115</v>
      </c>
      <c r="O52" s="31">
        <f t="shared" si="3"/>
        <v>16263.609999999986</v>
      </c>
      <c r="P52" s="31">
        <f t="shared" si="11"/>
        <v>47136.864000000001</v>
      </c>
      <c r="Q52" s="36"/>
      <c r="S52" s="44">
        <v>47136.86</v>
      </c>
      <c r="T52" s="41">
        <v>0</v>
      </c>
      <c r="U52" s="26">
        <f t="shared" si="5"/>
        <v>47136.86</v>
      </c>
      <c r="W52" s="26">
        <f t="shared" si="6"/>
        <v>4.0000000008149073E-3</v>
      </c>
    </row>
    <row r="53" spans="1:23">
      <c r="A53" s="29">
        <v>48</v>
      </c>
      <c r="B53" s="30" t="s">
        <v>88</v>
      </c>
      <c r="C53" s="31">
        <f>5977969+17500</f>
        <v>5995469</v>
      </c>
      <c r="D53" s="31">
        <v>-28723.39</v>
      </c>
      <c r="E53" s="32">
        <v>-1392.1200000001118</v>
      </c>
      <c r="F53" s="31">
        <v>193837.47</v>
      </c>
      <c r="G53" s="32"/>
      <c r="H53" s="31">
        <f t="shared" si="0"/>
        <v>193837.47</v>
      </c>
      <c r="I53" s="31">
        <f t="shared" si="7"/>
        <v>6159190.96</v>
      </c>
      <c r="J53" s="37">
        <v>2861206.4399999995</v>
      </c>
      <c r="K53" s="37">
        <v>205822</v>
      </c>
      <c r="L53" s="31"/>
      <c r="M53" s="31">
        <f t="shared" si="1"/>
        <v>3067028.4399999995</v>
      </c>
      <c r="N53" s="33">
        <f t="shared" si="2"/>
        <v>0.4979596281262238</v>
      </c>
      <c r="O53" s="31">
        <f t="shared" si="3"/>
        <v>3092162.5200000005</v>
      </c>
      <c r="P53" s="31">
        <f t="shared" si="11"/>
        <v>153351.42199999999</v>
      </c>
      <c r="Q53" s="36"/>
      <c r="S53" s="44">
        <v>134482.85999999999</v>
      </c>
      <c r="T53" s="41">
        <v>8577.4599999999991</v>
      </c>
      <c r="U53" s="26">
        <f t="shared" si="5"/>
        <v>143060.31999999998</v>
      </c>
      <c r="W53" s="26">
        <f t="shared" si="6"/>
        <v>10291.102000000014</v>
      </c>
    </row>
    <row r="54" spans="1:23">
      <c r="A54" s="29">
        <v>49</v>
      </c>
      <c r="B54" s="30" t="s">
        <v>87</v>
      </c>
      <c r="C54" s="31">
        <v>803000</v>
      </c>
      <c r="D54" s="31">
        <f>-114325-4655</f>
        <v>-118980</v>
      </c>
      <c r="E54" s="32">
        <v>0</v>
      </c>
      <c r="F54" s="31">
        <v>0</v>
      </c>
      <c r="G54" s="32"/>
      <c r="H54" s="31">
        <f t="shared" si="0"/>
        <v>0</v>
      </c>
      <c r="I54" s="31">
        <f t="shared" si="7"/>
        <v>684020</v>
      </c>
      <c r="J54" s="37">
        <v>520756.25</v>
      </c>
      <c r="K54" s="37">
        <v>128135</v>
      </c>
      <c r="L54" s="31"/>
      <c r="M54" s="31">
        <f t="shared" si="1"/>
        <v>648891.25</v>
      </c>
      <c r="N54" s="33">
        <f t="shared" si="2"/>
        <v>0.9486436800093565</v>
      </c>
      <c r="O54" s="31">
        <f t="shared" si="3"/>
        <v>35128.75</v>
      </c>
      <c r="P54" s="31">
        <f t="shared" si="11"/>
        <v>32444.5625</v>
      </c>
      <c r="Q54" s="36"/>
      <c r="S54" s="44">
        <v>21516.940000000002</v>
      </c>
      <c r="T54" s="41">
        <v>4520.88</v>
      </c>
      <c r="U54" s="26">
        <f t="shared" si="5"/>
        <v>26037.820000000003</v>
      </c>
      <c r="W54" s="26">
        <f t="shared" si="6"/>
        <v>6406.7424999999967</v>
      </c>
    </row>
    <row r="55" spans="1:23">
      <c r="A55" s="29">
        <v>50</v>
      </c>
      <c r="B55" s="30" t="s">
        <v>72</v>
      </c>
      <c r="C55" s="31">
        <v>0</v>
      </c>
      <c r="D55" s="31">
        <f>76169+17155</f>
        <v>93324</v>
      </c>
      <c r="E55" s="32">
        <v>0</v>
      </c>
      <c r="F55" s="31">
        <v>0</v>
      </c>
      <c r="G55" s="32"/>
      <c r="H55" s="31">
        <f t="shared" si="0"/>
        <v>0</v>
      </c>
      <c r="I55" s="31">
        <f t="shared" si="7"/>
        <v>93324</v>
      </c>
      <c r="J55" s="37">
        <v>38000</v>
      </c>
      <c r="K55" s="37">
        <v>35000</v>
      </c>
      <c r="L55" s="31"/>
      <c r="M55" s="31">
        <f t="shared" si="1"/>
        <v>73000</v>
      </c>
      <c r="N55" s="33">
        <f t="shared" ref="N55" si="15">M55/I55</f>
        <v>0.78222107925078221</v>
      </c>
      <c r="O55" s="31">
        <f t="shared" si="3"/>
        <v>20324</v>
      </c>
      <c r="P55" s="31">
        <f t="shared" si="11"/>
        <v>3650</v>
      </c>
      <c r="Q55" s="36"/>
      <c r="S55" s="44">
        <v>650</v>
      </c>
      <c r="T55" s="41">
        <v>1250</v>
      </c>
      <c r="U55" s="26">
        <f t="shared" si="5"/>
        <v>1900</v>
      </c>
      <c r="W55" s="26">
        <f t="shared" si="6"/>
        <v>1750</v>
      </c>
    </row>
    <row r="56" spans="1:23">
      <c r="A56" s="29">
        <v>51</v>
      </c>
      <c r="B56" s="30" t="s">
        <v>73</v>
      </c>
      <c r="C56" s="31">
        <v>300630</v>
      </c>
      <c r="D56" s="31"/>
      <c r="E56" s="32">
        <v>-1105.9500000000116</v>
      </c>
      <c r="F56" s="31">
        <v>-150630</v>
      </c>
      <c r="G56" s="32"/>
      <c r="H56" s="31">
        <f t="shared" si="0"/>
        <v>-150630</v>
      </c>
      <c r="I56" s="31">
        <f t="shared" si="7"/>
        <v>148894.04999999999</v>
      </c>
      <c r="J56" s="37">
        <v>54750.51</v>
      </c>
      <c r="K56" s="37">
        <v>0</v>
      </c>
      <c r="L56" s="31"/>
      <c r="M56" s="31">
        <f t="shared" si="1"/>
        <v>54750.51</v>
      </c>
      <c r="N56" s="33">
        <f t="shared" si="2"/>
        <v>0.36771455944680131</v>
      </c>
      <c r="O56" s="31">
        <f t="shared" si="3"/>
        <v>94143.539999999979</v>
      </c>
      <c r="P56" s="31">
        <f t="shared" si="11"/>
        <v>2737.5255000000002</v>
      </c>
      <c r="Q56" s="36"/>
      <c r="S56" s="44">
        <v>2737.53</v>
      </c>
      <c r="T56" s="41">
        <v>0</v>
      </c>
      <c r="U56" s="26">
        <f t="shared" si="5"/>
        <v>2737.53</v>
      </c>
      <c r="W56" s="26">
        <f t="shared" si="6"/>
        <v>-4.500000000007276E-3</v>
      </c>
    </row>
    <row r="57" spans="1:23">
      <c r="A57" s="29">
        <v>52</v>
      </c>
      <c r="B57" s="30" t="s">
        <v>86</v>
      </c>
      <c r="C57" s="31">
        <v>557425</v>
      </c>
      <c r="D57" s="31"/>
      <c r="E57" s="32">
        <v>0</v>
      </c>
      <c r="F57" s="31">
        <v>-167525</v>
      </c>
      <c r="G57" s="32"/>
      <c r="H57" s="31">
        <f t="shared" si="0"/>
        <v>-167525</v>
      </c>
      <c r="I57" s="31">
        <f t="shared" si="7"/>
        <v>389900</v>
      </c>
      <c r="J57" s="37">
        <v>245000</v>
      </c>
      <c r="K57" s="37">
        <v>60000</v>
      </c>
      <c r="L57" s="31"/>
      <c r="M57" s="31">
        <f t="shared" si="1"/>
        <v>305000</v>
      </c>
      <c r="N57" s="33">
        <f t="shared" si="2"/>
        <v>0.78225185945114128</v>
      </c>
      <c r="O57" s="31">
        <f t="shared" si="3"/>
        <v>84900</v>
      </c>
      <c r="P57" s="31">
        <f t="shared" si="11"/>
        <v>15250</v>
      </c>
      <c r="Q57" s="36"/>
      <c r="S57" s="44">
        <v>7895</v>
      </c>
      <c r="T57" s="41">
        <v>4355</v>
      </c>
      <c r="U57" s="26">
        <f t="shared" si="5"/>
        <v>12250</v>
      </c>
      <c r="W57" s="26">
        <f t="shared" si="6"/>
        <v>3000</v>
      </c>
    </row>
    <row r="58" spans="1:23">
      <c r="A58" s="29">
        <v>53</v>
      </c>
      <c r="B58" s="30" t="s">
        <v>85</v>
      </c>
      <c r="C58" s="31">
        <v>467500</v>
      </c>
      <c r="D58" s="31">
        <v>-63500</v>
      </c>
      <c r="E58" s="32">
        <v>121.95000000001164</v>
      </c>
      <c r="F58" s="31">
        <v>0</v>
      </c>
      <c r="G58" s="32"/>
      <c r="H58" s="31">
        <f t="shared" si="0"/>
        <v>0</v>
      </c>
      <c r="I58" s="31">
        <f t="shared" si="7"/>
        <v>404121.95</v>
      </c>
      <c r="J58" s="37">
        <v>302444.08999999997</v>
      </c>
      <c r="K58" s="37">
        <v>37360</v>
      </c>
      <c r="L58" s="31"/>
      <c r="M58" s="31">
        <f t="shared" si="1"/>
        <v>339804.08999999997</v>
      </c>
      <c r="N58" s="33">
        <f t="shared" si="2"/>
        <v>0.84084541807244062</v>
      </c>
      <c r="O58" s="31">
        <f t="shared" si="3"/>
        <v>64317.860000000044</v>
      </c>
      <c r="P58" s="31">
        <f t="shared" si="11"/>
        <v>16990.2045</v>
      </c>
      <c r="Q58" s="36"/>
      <c r="S58" s="44">
        <v>15122.199999999999</v>
      </c>
      <c r="T58" s="41">
        <v>0</v>
      </c>
      <c r="U58" s="26">
        <f t="shared" si="5"/>
        <v>15122.199999999999</v>
      </c>
      <c r="W58" s="26">
        <f t="shared" si="6"/>
        <v>1868.0045000000009</v>
      </c>
    </row>
    <row r="59" spans="1:23">
      <c r="A59" s="29">
        <v>54</v>
      </c>
      <c r="B59" s="30" t="s">
        <v>101</v>
      </c>
      <c r="C59" s="31">
        <v>2553321</v>
      </c>
      <c r="D59" s="31"/>
      <c r="E59" s="32">
        <v>443516</v>
      </c>
      <c r="F59" s="31">
        <v>404284.76</v>
      </c>
      <c r="G59" s="32"/>
      <c r="H59" s="31">
        <f t="shared" si="0"/>
        <v>404284.76</v>
      </c>
      <c r="I59" s="31">
        <f t="shared" si="7"/>
        <v>3401121.76</v>
      </c>
      <c r="J59" s="37">
        <v>1695991.7999999998</v>
      </c>
      <c r="K59" s="37">
        <v>481213.09</v>
      </c>
      <c r="L59" s="31"/>
      <c r="M59" s="31">
        <f t="shared" si="1"/>
        <v>2177204.8899999997</v>
      </c>
      <c r="N59" s="33">
        <f t="shared" si="2"/>
        <v>0.64014317734981641</v>
      </c>
      <c r="O59" s="31">
        <f t="shared" si="3"/>
        <v>1223916.8700000001</v>
      </c>
      <c r="P59" s="31">
        <f t="shared" si="11"/>
        <v>108860.24449999999</v>
      </c>
      <c r="Q59" s="36"/>
      <c r="S59" s="44">
        <v>23855.45</v>
      </c>
      <c r="T59" s="41">
        <v>60944.15</v>
      </c>
      <c r="U59" s="26">
        <f t="shared" si="5"/>
        <v>84799.6</v>
      </c>
      <c r="W59" s="26">
        <f t="shared" si="6"/>
        <v>24060.64449999998</v>
      </c>
    </row>
    <row r="60" spans="1:23">
      <c r="A60" s="29">
        <v>55</v>
      </c>
      <c r="B60" s="30" t="s">
        <v>84</v>
      </c>
      <c r="C60" s="31">
        <v>350385</v>
      </c>
      <c r="D60" s="31"/>
      <c r="E60" s="32">
        <v>0</v>
      </c>
      <c r="F60" s="31">
        <v>63218</v>
      </c>
      <c r="G60" s="32"/>
      <c r="H60" s="31">
        <f t="shared" si="0"/>
        <v>63218</v>
      </c>
      <c r="I60" s="31">
        <f t="shared" si="7"/>
        <v>413603</v>
      </c>
      <c r="J60" s="37">
        <v>28713</v>
      </c>
      <c r="K60" s="37">
        <v>17487</v>
      </c>
      <c r="L60" s="31"/>
      <c r="M60" s="31">
        <f t="shared" si="1"/>
        <v>46200</v>
      </c>
      <c r="N60" s="33">
        <f t="shared" si="2"/>
        <v>0.11170131744692374</v>
      </c>
      <c r="O60" s="31">
        <f t="shared" si="3"/>
        <v>367403</v>
      </c>
      <c r="P60" s="31">
        <f t="shared" si="11"/>
        <v>2310</v>
      </c>
      <c r="Q60" s="36"/>
      <c r="S60" s="44">
        <v>613.25</v>
      </c>
      <c r="T60" s="41">
        <v>822.4</v>
      </c>
      <c r="U60" s="26">
        <f t="shared" si="5"/>
        <v>1435.65</v>
      </c>
      <c r="W60" s="26">
        <f t="shared" si="6"/>
        <v>874.34999999999991</v>
      </c>
    </row>
    <row r="61" spans="1:23">
      <c r="A61" s="29">
        <v>56</v>
      </c>
      <c r="B61" s="30" t="s">
        <v>83</v>
      </c>
      <c r="C61" s="31">
        <v>603350</v>
      </c>
      <c r="D61" s="31"/>
      <c r="E61" s="32">
        <v>0</v>
      </c>
      <c r="F61" s="31">
        <v>110135</v>
      </c>
      <c r="G61" s="32"/>
      <c r="H61" s="31">
        <f t="shared" si="0"/>
        <v>110135</v>
      </c>
      <c r="I61" s="31">
        <f t="shared" si="7"/>
        <v>713485</v>
      </c>
      <c r="J61" s="37">
        <v>0</v>
      </c>
      <c r="K61" s="37">
        <v>192300</v>
      </c>
      <c r="L61" s="31"/>
      <c r="M61" s="31">
        <f t="shared" si="1"/>
        <v>192300</v>
      </c>
      <c r="N61" s="33">
        <f t="shared" si="2"/>
        <v>0.26952213431256439</v>
      </c>
      <c r="O61" s="31">
        <f t="shared" si="3"/>
        <v>521185</v>
      </c>
      <c r="P61" s="31">
        <f t="shared" si="11"/>
        <v>9615</v>
      </c>
      <c r="Q61" s="36"/>
      <c r="S61" s="44">
        <v>0</v>
      </c>
      <c r="T61" s="41">
        <v>0</v>
      </c>
      <c r="U61" s="26">
        <f t="shared" si="5"/>
        <v>0</v>
      </c>
      <c r="W61" s="26">
        <f t="shared" si="6"/>
        <v>9615</v>
      </c>
    </row>
    <row r="62" spans="1:23">
      <c r="A62" s="29">
        <v>57</v>
      </c>
      <c r="B62" s="30" t="s">
        <v>82</v>
      </c>
      <c r="C62" s="31">
        <v>390036</v>
      </c>
      <c r="D62" s="31"/>
      <c r="E62" s="32">
        <v>-16874.650000000023</v>
      </c>
      <c r="F62" s="31">
        <v>127661.65</v>
      </c>
      <c r="G62" s="32"/>
      <c r="H62" s="31">
        <f t="shared" si="0"/>
        <v>127661.65</v>
      </c>
      <c r="I62" s="31">
        <f t="shared" si="7"/>
        <v>500823</v>
      </c>
      <c r="J62" s="37">
        <v>47659.07</v>
      </c>
      <c r="K62" s="37">
        <v>52122.54</v>
      </c>
      <c r="L62" s="31"/>
      <c r="M62" s="31">
        <f t="shared" si="1"/>
        <v>99781.61</v>
      </c>
      <c r="N62" s="33">
        <f t="shared" si="2"/>
        <v>0.19923527873120844</v>
      </c>
      <c r="O62" s="31">
        <f t="shared" si="3"/>
        <v>401041.39</v>
      </c>
      <c r="P62" s="31">
        <f t="shared" si="11"/>
        <v>4989.0805</v>
      </c>
      <c r="Q62" s="36"/>
      <c r="S62" s="44">
        <v>2382.9499999999998</v>
      </c>
      <c r="T62" s="41">
        <v>0</v>
      </c>
      <c r="U62" s="26">
        <f t="shared" si="5"/>
        <v>2382.9499999999998</v>
      </c>
      <c r="W62" s="26">
        <f t="shared" si="6"/>
        <v>2606.1305000000002</v>
      </c>
    </row>
    <row r="63" spans="1:23">
      <c r="A63" s="29">
        <v>58</v>
      </c>
      <c r="B63" s="30" t="s">
        <v>81</v>
      </c>
      <c r="C63" s="31">
        <v>10000</v>
      </c>
      <c r="D63" s="31"/>
      <c r="E63" s="32">
        <v>0</v>
      </c>
      <c r="F63" s="31">
        <v>11250</v>
      </c>
      <c r="G63" s="32"/>
      <c r="H63" s="31">
        <f t="shared" si="0"/>
        <v>11250</v>
      </c>
      <c r="I63" s="31">
        <f t="shared" si="7"/>
        <v>21250</v>
      </c>
      <c r="J63" s="37">
        <v>0</v>
      </c>
      <c r="K63" s="37">
        <v>0</v>
      </c>
      <c r="L63" s="31"/>
      <c r="M63" s="31">
        <f t="shared" si="1"/>
        <v>0</v>
      </c>
      <c r="N63" s="33">
        <f t="shared" si="2"/>
        <v>0</v>
      </c>
      <c r="O63" s="31">
        <f t="shared" si="3"/>
        <v>21250</v>
      </c>
      <c r="P63" s="31">
        <f t="shared" si="11"/>
        <v>0</v>
      </c>
      <c r="Q63" s="36"/>
      <c r="S63" s="44">
        <v>0</v>
      </c>
      <c r="T63" s="41">
        <v>0</v>
      </c>
      <c r="U63" s="26">
        <f t="shared" si="5"/>
        <v>0</v>
      </c>
      <c r="W63" s="26">
        <f t="shared" si="6"/>
        <v>0</v>
      </c>
    </row>
    <row r="64" spans="1:23">
      <c r="A64" s="29">
        <v>59</v>
      </c>
      <c r="B64" s="30" t="s">
        <v>80</v>
      </c>
      <c r="C64" s="31">
        <v>59200</v>
      </c>
      <c r="D64" s="31"/>
      <c r="E64" s="32">
        <v>8750</v>
      </c>
      <c r="F64" s="31">
        <v>60800</v>
      </c>
      <c r="G64" s="32"/>
      <c r="H64" s="31">
        <f t="shared" si="0"/>
        <v>60800</v>
      </c>
      <c r="I64" s="31">
        <f t="shared" si="7"/>
        <v>128750</v>
      </c>
      <c r="J64" s="37">
        <v>35000</v>
      </c>
      <c r="K64" s="37">
        <v>0</v>
      </c>
      <c r="L64" s="31"/>
      <c r="M64" s="31">
        <f t="shared" si="1"/>
        <v>35000</v>
      </c>
      <c r="N64" s="33">
        <f t="shared" si="2"/>
        <v>0.27184466019417475</v>
      </c>
      <c r="O64" s="31">
        <f t="shared" si="3"/>
        <v>93750</v>
      </c>
      <c r="P64" s="31">
        <f t="shared" si="11"/>
        <v>1750</v>
      </c>
      <c r="Q64" s="36"/>
      <c r="S64" s="44">
        <v>0</v>
      </c>
      <c r="T64" s="41">
        <v>1750</v>
      </c>
      <c r="U64" s="26">
        <f t="shared" si="5"/>
        <v>1750</v>
      </c>
      <c r="W64" s="26">
        <f t="shared" si="6"/>
        <v>0</v>
      </c>
    </row>
    <row r="65" spans="1:23">
      <c r="A65" s="29">
        <v>60</v>
      </c>
      <c r="B65" s="30" t="s">
        <v>79</v>
      </c>
      <c r="C65" s="31">
        <v>497975</v>
      </c>
      <c r="D65" s="31"/>
      <c r="E65" s="32">
        <v>-17237.79999999993</v>
      </c>
      <c r="F65" s="31">
        <v>29286.699999999997</v>
      </c>
      <c r="G65" s="32"/>
      <c r="H65" s="31">
        <f t="shared" si="0"/>
        <v>29286.699999999997</v>
      </c>
      <c r="I65" s="31">
        <f t="shared" si="7"/>
        <v>510023.90000000008</v>
      </c>
      <c r="J65" s="37">
        <v>155000</v>
      </c>
      <c r="K65" s="37">
        <v>120000</v>
      </c>
      <c r="L65" s="31"/>
      <c r="M65" s="31">
        <f t="shared" si="1"/>
        <v>275000</v>
      </c>
      <c r="N65" s="33">
        <f t="shared" si="2"/>
        <v>0.53919041833137615</v>
      </c>
      <c r="O65" s="31">
        <f t="shared" si="3"/>
        <v>235023.90000000008</v>
      </c>
      <c r="P65" s="31">
        <f>M65*0.1</f>
        <v>27500</v>
      </c>
      <c r="Q65" s="36"/>
      <c r="R65" s="4" t="s">
        <v>103</v>
      </c>
      <c r="S65" s="44">
        <v>10500</v>
      </c>
      <c r="T65" s="41">
        <v>5000</v>
      </c>
      <c r="U65" s="26">
        <f t="shared" si="5"/>
        <v>15500</v>
      </c>
      <c r="W65" s="26">
        <f>P65-U65</f>
        <v>12000</v>
      </c>
    </row>
    <row r="66" spans="1:23">
      <c r="A66" s="29">
        <v>61</v>
      </c>
      <c r="B66" s="30" t="s">
        <v>78</v>
      </c>
      <c r="C66" s="31">
        <v>500000</v>
      </c>
      <c r="D66" s="31"/>
      <c r="E66" s="32">
        <v>-277192</v>
      </c>
      <c r="F66" s="31">
        <v>-222808</v>
      </c>
      <c r="G66" s="32"/>
      <c r="H66" s="31">
        <f t="shared" si="0"/>
        <v>-222808</v>
      </c>
      <c r="I66" s="31">
        <f t="shared" si="7"/>
        <v>0</v>
      </c>
      <c r="J66" s="37">
        <v>0</v>
      </c>
      <c r="K66" s="37">
        <v>0</v>
      </c>
      <c r="L66" s="31"/>
      <c r="M66" s="31">
        <f t="shared" si="1"/>
        <v>0</v>
      </c>
      <c r="N66" s="33">
        <v>0</v>
      </c>
      <c r="O66" s="31">
        <f t="shared" si="3"/>
        <v>0</v>
      </c>
      <c r="P66" s="31">
        <f t="shared" si="11"/>
        <v>0</v>
      </c>
      <c r="Q66" s="36"/>
      <c r="S66" s="44">
        <v>0</v>
      </c>
      <c r="T66" s="41">
        <v>0</v>
      </c>
      <c r="U66" s="26">
        <f t="shared" si="5"/>
        <v>0</v>
      </c>
      <c r="W66" s="26">
        <f t="shared" si="6"/>
        <v>0</v>
      </c>
    </row>
    <row r="67" spans="1:23">
      <c r="A67" s="29">
        <v>62</v>
      </c>
      <c r="B67" s="30" t="s">
        <v>77</v>
      </c>
      <c r="C67" s="31">
        <v>426250</v>
      </c>
      <c r="D67" s="31"/>
      <c r="E67" s="32">
        <v>-222807.51</v>
      </c>
      <c r="F67" s="31">
        <v>0</v>
      </c>
      <c r="G67" s="32"/>
      <c r="H67" s="31">
        <f t="shared" si="0"/>
        <v>0</v>
      </c>
      <c r="I67" s="31">
        <f t="shared" si="7"/>
        <v>203442.49</v>
      </c>
      <c r="J67" s="37">
        <v>0</v>
      </c>
      <c r="K67" s="37">
        <v>0</v>
      </c>
      <c r="L67" s="31"/>
      <c r="M67" s="31">
        <f t="shared" si="1"/>
        <v>0</v>
      </c>
      <c r="N67" s="33">
        <f t="shared" si="2"/>
        <v>0</v>
      </c>
      <c r="O67" s="31">
        <f t="shared" si="3"/>
        <v>203442.49</v>
      </c>
      <c r="P67" s="31">
        <f t="shared" si="11"/>
        <v>0</v>
      </c>
      <c r="Q67" s="36"/>
      <c r="S67" s="44">
        <v>0</v>
      </c>
      <c r="T67" s="41">
        <v>0</v>
      </c>
      <c r="U67" s="26">
        <f t="shared" si="5"/>
        <v>0</v>
      </c>
      <c r="W67" s="26">
        <f t="shared" si="6"/>
        <v>0</v>
      </c>
    </row>
    <row r="68" spans="1:23">
      <c r="A68" s="29">
        <v>63</v>
      </c>
      <c r="B68" s="30" t="s">
        <v>76</v>
      </c>
      <c r="C68" s="31">
        <v>316000</v>
      </c>
      <c r="D68" s="31">
        <v>4485</v>
      </c>
      <c r="E68" s="32">
        <v>0</v>
      </c>
      <c r="F68" s="31">
        <v>0</v>
      </c>
      <c r="G68" s="32"/>
      <c r="H68" s="31">
        <f t="shared" si="0"/>
        <v>0</v>
      </c>
      <c r="I68" s="31">
        <f t="shared" si="7"/>
        <v>320485</v>
      </c>
      <c r="J68" s="37">
        <v>94800</v>
      </c>
      <c r="K68" s="37">
        <v>0</v>
      </c>
      <c r="L68" s="31"/>
      <c r="M68" s="31">
        <f t="shared" si="1"/>
        <v>94800</v>
      </c>
      <c r="N68" s="33">
        <f t="shared" si="2"/>
        <v>0.29580167558544079</v>
      </c>
      <c r="O68" s="31">
        <f t="shared" si="3"/>
        <v>225685</v>
      </c>
      <c r="P68" s="31">
        <f t="shared" si="11"/>
        <v>4740</v>
      </c>
      <c r="Q68" s="36"/>
      <c r="S68" s="44">
        <v>4740</v>
      </c>
      <c r="T68" s="41">
        <v>0</v>
      </c>
      <c r="U68" s="26">
        <f t="shared" si="5"/>
        <v>4740</v>
      </c>
      <c r="W68" s="26">
        <f t="shared" si="6"/>
        <v>0</v>
      </c>
    </row>
    <row r="69" spans="1:23">
      <c r="A69" s="29">
        <v>64</v>
      </c>
      <c r="B69" s="30" t="s">
        <v>45</v>
      </c>
      <c r="C69" s="31">
        <v>5573475</v>
      </c>
      <c r="D69" s="31"/>
      <c r="E69" s="32">
        <v>9838</v>
      </c>
      <c r="F69" s="31">
        <v>178777</v>
      </c>
      <c r="G69" s="32"/>
      <c r="H69" s="31">
        <f t="shared" si="0"/>
        <v>178777</v>
      </c>
      <c r="I69" s="31">
        <f t="shared" si="7"/>
        <v>5762090</v>
      </c>
      <c r="J69" s="37">
        <v>5042095.57</v>
      </c>
      <c r="K69" s="37">
        <v>452352.01</v>
      </c>
      <c r="L69" s="31"/>
      <c r="M69" s="31">
        <f t="shared" si="1"/>
        <v>5494447.5800000001</v>
      </c>
      <c r="N69" s="33">
        <f t="shared" si="2"/>
        <v>0.95355115591738415</v>
      </c>
      <c r="O69" s="31">
        <f t="shared" si="3"/>
        <v>267642.41999999993</v>
      </c>
      <c r="P69" s="31">
        <f t="shared" si="11"/>
        <v>274722.37900000002</v>
      </c>
      <c r="Q69" s="36"/>
      <c r="S69" s="44">
        <v>231473.25</v>
      </c>
      <c r="T69" s="41">
        <v>20631.509999999998</v>
      </c>
      <c r="U69" s="26">
        <f t="shared" si="5"/>
        <v>252104.76</v>
      </c>
      <c r="W69" s="26">
        <f t="shared" si="6"/>
        <v>22617.619000000006</v>
      </c>
    </row>
    <row r="70" spans="1:23">
      <c r="A70" s="29">
        <v>65</v>
      </c>
      <c r="B70" s="30" t="s">
        <v>46</v>
      </c>
      <c r="C70" s="31">
        <v>3954895</v>
      </c>
      <c r="D70" s="31">
        <f>8700+9200</f>
        <v>17900</v>
      </c>
      <c r="E70" s="32">
        <v>41410</v>
      </c>
      <c r="F70" s="31">
        <v>555719</v>
      </c>
      <c r="G70" s="32"/>
      <c r="H70" s="31">
        <f t="shared" si="0"/>
        <v>555719</v>
      </c>
      <c r="I70" s="31">
        <f t="shared" si="7"/>
        <v>4569924</v>
      </c>
      <c r="J70" s="37">
        <v>2559408.41</v>
      </c>
      <c r="K70" s="37">
        <v>487580.29</v>
      </c>
      <c r="L70" s="31"/>
      <c r="M70" s="31">
        <f t="shared" si="1"/>
        <v>3046988.7</v>
      </c>
      <c r="N70" s="33">
        <f t="shared" si="2"/>
        <v>0.66674822163344516</v>
      </c>
      <c r="O70" s="31">
        <f t="shared" si="3"/>
        <v>1522935.2999999998</v>
      </c>
      <c r="P70" s="31">
        <f t="shared" si="11"/>
        <v>152349.43500000003</v>
      </c>
      <c r="Q70" s="36"/>
      <c r="S70" s="44">
        <v>94687.709999999992</v>
      </c>
      <c r="T70" s="41">
        <v>33282.71</v>
      </c>
      <c r="U70" s="26">
        <f t="shared" si="5"/>
        <v>127970.41999999998</v>
      </c>
      <c r="W70" s="26">
        <f t="shared" si="6"/>
        <v>24379.015000000043</v>
      </c>
    </row>
    <row r="71" spans="1:23">
      <c r="A71" s="29">
        <v>66</v>
      </c>
      <c r="B71" s="30" t="s">
        <v>70</v>
      </c>
      <c r="C71" s="31">
        <v>100000</v>
      </c>
      <c r="D71" s="31"/>
      <c r="E71" s="32">
        <v>0</v>
      </c>
      <c r="F71" s="31">
        <v>-23725</v>
      </c>
      <c r="G71" s="32"/>
      <c r="H71" s="31">
        <f t="shared" ref="H71:H75" si="16">F71+G71</f>
        <v>-23725</v>
      </c>
      <c r="I71" s="31">
        <f t="shared" si="7"/>
        <v>76275</v>
      </c>
      <c r="J71" s="37">
        <v>0</v>
      </c>
      <c r="K71" s="37">
        <v>47775.18</v>
      </c>
      <c r="L71" s="31"/>
      <c r="M71" s="31">
        <f t="shared" ref="M71:M75" si="17">J71+K71</f>
        <v>47775.18</v>
      </c>
      <c r="N71" s="33">
        <f>M71/I71</f>
        <v>0.62635437561455265</v>
      </c>
      <c r="O71" s="31">
        <f t="shared" si="3"/>
        <v>28499.82</v>
      </c>
      <c r="P71" s="31">
        <f t="shared" si="11"/>
        <v>2388.759</v>
      </c>
      <c r="Q71" s="36"/>
      <c r="S71" s="44">
        <v>0</v>
      </c>
      <c r="T71" s="41">
        <v>0</v>
      </c>
      <c r="U71" s="26">
        <f t="shared" ref="U71:U76" si="18">S71+T71</f>
        <v>0</v>
      </c>
      <c r="W71" s="26">
        <f t="shared" ref="W71:W77" si="19">P71-U71</f>
        <v>2388.759</v>
      </c>
    </row>
    <row r="72" spans="1:23">
      <c r="A72" s="29">
        <v>67</v>
      </c>
      <c r="B72" s="30" t="s">
        <v>74</v>
      </c>
      <c r="C72" s="31">
        <v>0</v>
      </c>
      <c r="D72" s="31"/>
      <c r="E72" s="32">
        <v>0</v>
      </c>
      <c r="F72" s="31">
        <v>357929.34</v>
      </c>
      <c r="G72" s="32"/>
      <c r="H72" s="31">
        <f t="shared" si="16"/>
        <v>357929.34</v>
      </c>
      <c r="I72" s="31">
        <f t="shared" si="7"/>
        <v>357929.34</v>
      </c>
      <c r="J72" s="37">
        <v>28640.14</v>
      </c>
      <c r="K72" s="37">
        <v>24263.4</v>
      </c>
      <c r="L72" s="31"/>
      <c r="M72" s="31">
        <f t="shared" si="17"/>
        <v>52903.54</v>
      </c>
      <c r="N72" s="33">
        <v>0</v>
      </c>
      <c r="O72" s="31">
        <f t="shared" si="3"/>
        <v>305025.80000000005</v>
      </c>
      <c r="P72" s="31">
        <f t="shared" si="11"/>
        <v>2645.1770000000001</v>
      </c>
      <c r="Q72" s="36"/>
      <c r="S72" s="44">
        <v>0</v>
      </c>
      <c r="T72" s="41">
        <v>1432.01</v>
      </c>
      <c r="U72" s="26">
        <f t="shared" si="18"/>
        <v>1432.01</v>
      </c>
      <c r="W72" s="26">
        <f t="shared" si="19"/>
        <v>1213.1670000000001</v>
      </c>
    </row>
    <row r="73" spans="1:23">
      <c r="A73" s="29">
        <v>68</v>
      </c>
      <c r="B73" s="30" t="s">
        <v>75</v>
      </c>
      <c r="C73" s="31">
        <v>0</v>
      </c>
      <c r="D73" s="31"/>
      <c r="E73" s="32">
        <v>0</v>
      </c>
      <c r="F73" s="31">
        <v>457849.55</v>
      </c>
      <c r="G73" s="32"/>
      <c r="H73" s="31">
        <f t="shared" si="16"/>
        <v>457849.55</v>
      </c>
      <c r="I73" s="31">
        <f t="shared" si="7"/>
        <v>457849.55</v>
      </c>
      <c r="J73" s="37">
        <v>60670.61</v>
      </c>
      <c r="K73" s="37">
        <v>175405.33</v>
      </c>
      <c r="L73" s="31"/>
      <c r="M73" s="31">
        <f>J73+K73</f>
        <v>236075.94</v>
      </c>
      <c r="N73" s="33">
        <v>0</v>
      </c>
      <c r="O73" s="31">
        <f t="shared" si="3"/>
        <v>221773.61</v>
      </c>
      <c r="P73" s="31">
        <f t="shared" si="11"/>
        <v>11803.797</v>
      </c>
      <c r="Q73" s="36"/>
      <c r="S73" s="44">
        <v>0</v>
      </c>
      <c r="T73" s="41">
        <v>3033.53</v>
      </c>
      <c r="U73" s="26">
        <f t="shared" si="18"/>
        <v>3033.53</v>
      </c>
      <c r="W73" s="26">
        <f t="shared" si="19"/>
        <v>8770.2669999999998</v>
      </c>
    </row>
    <row r="74" spans="1:23">
      <c r="A74" s="29">
        <v>69</v>
      </c>
      <c r="B74" s="30" t="s">
        <v>67</v>
      </c>
      <c r="C74" s="31">
        <v>1155840</v>
      </c>
      <c r="D74" s="31">
        <f>148648.04-4412.49</f>
        <v>144235.55000000002</v>
      </c>
      <c r="E74" s="32">
        <v>0</v>
      </c>
      <c r="F74" s="31">
        <v>-1300075.55</v>
      </c>
      <c r="G74" s="32"/>
      <c r="H74" s="31">
        <f t="shared" si="16"/>
        <v>-1300075.55</v>
      </c>
      <c r="I74" s="31">
        <f t="shared" si="7"/>
        <v>0</v>
      </c>
      <c r="J74" s="37">
        <v>0</v>
      </c>
      <c r="K74" s="37">
        <v>0</v>
      </c>
      <c r="L74" s="31"/>
      <c r="M74" s="31">
        <f t="shared" si="17"/>
        <v>0</v>
      </c>
      <c r="N74" s="33">
        <v>0</v>
      </c>
      <c r="O74" s="31">
        <f t="shared" si="3"/>
        <v>0</v>
      </c>
      <c r="P74" s="31">
        <f t="shared" si="11"/>
        <v>0</v>
      </c>
      <c r="Q74" s="36"/>
      <c r="S74" s="44">
        <v>0</v>
      </c>
      <c r="T74" s="41">
        <v>0</v>
      </c>
      <c r="U74" s="26">
        <f t="shared" si="18"/>
        <v>0</v>
      </c>
      <c r="W74" s="26">
        <f t="shared" si="19"/>
        <v>0</v>
      </c>
    </row>
    <row r="75" spans="1:23">
      <c r="A75" s="29">
        <v>70</v>
      </c>
      <c r="B75" s="30" t="s">
        <v>6</v>
      </c>
      <c r="C75" s="31">
        <v>1141194</v>
      </c>
      <c r="D75" s="31">
        <v>-9200</v>
      </c>
      <c r="E75" s="32">
        <v>-81609.580000000104</v>
      </c>
      <c r="F75" s="31">
        <v>54622</v>
      </c>
      <c r="G75" s="32"/>
      <c r="H75" s="31">
        <f t="shared" si="16"/>
        <v>54622</v>
      </c>
      <c r="I75" s="31">
        <f t="shared" si="7"/>
        <v>1105006.42</v>
      </c>
      <c r="J75" s="37">
        <v>0</v>
      </c>
      <c r="K75" s="37">
        <v>0</v>
      </c>
      <c r="L75" s="31"/>
      <c r="M75" s="31">
        <f t="shared" si="17"/>
        <v>0</v>
      </c>
      <c r="N75" s="33">
        <f t="shared" ref="N75" si="20">M75/I75</f>
        <v>0</v>
      </c>
      <c r="O75" s="31">
        <f t="shared" si="3"/>
        <v>1105006.42</v>
      </c>
      <c r="P75" s="31">
        <f t="shared" si="11"/>
        <v>0</v>
      </c>
      <c r="Q75" s="36"/>
      <c r="S75" s="44">
        <v>0</v>
      </c>
      <c r="T75" s="41">
        <v>0</v>
      </c>
      <c r="U75" s="26">
        <f t="shared" si="18"/>
        <v>0</v>
      </c>
      <c r="W75" s="26">
        <f t="shared" si="19"/>
        <v>0</v>
      </c>
    </row>
    <row r="76" spans="1:23">
      <c r="A76" s="29">
        <v>71</v>
      </c>
      <c r="B76" s="30" t="s">
        <v>52</v>
      </c>
      <c r="C76" s="31">
        <v>1008421</v>
      </c>
      <c r="D76" s="31"/>
      <c r="E76" s="32">
        <v>-24.57</v>
      </c>
      <c r="F76" s="31">
        <v>33812.67</v>
      </c>
      <c r="G76" s="32"/>
      <c r="H76" s="31">
        <f>F76+G76</f>
        <v>33812.67</v>
      </c>
      <c r="I76" s="31">
        <f>SUM(I6:I75)*0.025-0.07</f>
        <v>1042209.09925</v>
      </c>
      <c r="J76" s="37">
        <v>601814.79875000007</v>
      </c>
      <c r="K76" s="37">
        <f>(SUM(K6:K75)*0.025)</f>
        <v>71622.732500000013</v>
      </c>
      <c r="L76" s="31"/>
      <c r="M76" s="31">
        <f>J76+K76</f>
        <v>673437.53125000012</v>
      </c>
      <c r="N76" s="33">
        <f>M76/C76</f>
        <v>0.66781387064529607</v>
      </c>
      <c r="O76" s="31">
        <f t="shared" si="3"/>
        <v>368771.56799999985</v>
      </c>
      <c r="P76" s="31">
        <f t="shared" si="11"/>
        <v>33671.876562500009</v>
      </c>
      <c r="Q76" s="36"/>
      <c r="S76" s="44">
        <v>25623.54</v>
      </c>
      <c r="T76" s="41">
        <v>4467.2</v>
      </c>
      <c r="U76" s="26">
        <f t="shared" si="18"/>
        <v>30090.74</v>
      </c>
      <c r="W76" s="26">
        <f t="shared" si="19"/>
        <v>3581.1365625000071</v>
      </c>
    </row>
    <row r="77" spans="1:23" ht="27.75" customHeight="1">
      <c r="A77" s="49" t="s">
        <v>21</v>
      </c>
      <c r="B77" s="49"/>
      <c r="C77" s="22">
        <f>SUM(C6:C76)</f>
        <v>41345266</v>
      </c>
      <c r="D77" s="22">
        <f>SUM(D6:D76)</f>
        <v>2.9103830456733704E-11</v>
      </c>
      <c r="E77" s="28">
        <f>SUM(E6:E76)</f>
        <v>-3.1315749993154895E-10</v>
      </c>
      <c r="F77" s="22">
        <f>SUM(F6:F76)</f>
        <v>1385309.8699999994</v>
      </c>
      <c r="G77" s="28"/>
      <c r="H77" s="22">
        <f>SUM(H6:H76)</f>
        <v>1385309.8699999994</v>
      </c>
      <c r="I77" s="22">
        <f>SUM(I6:I76)</f>
        <v>42730575.86925</v>
      </c>
      <c r="J77" s="22">
        <f>SUM(J6:J76)</f>
        <v>24674406.848750003</v>
      </c>
      <c r="K77" s="38">
        <f>SUM(K6:K76)</f>
        <v>2936532.0325000002</v>
      </c>
      <c r="L77" s="22">
        <f t="shared" ref="L77" si="21">SUM(L6:L76)</f>
        <v>0</v>
      </c>
      <c r="M77" s="22">
        <f>SUM(M6:M76)</f>
        <v>27610938.881249994</v>
      </c>
      <c r="N77" s="23">
        <f>M77/I77</f>
        <v>0.64616350984212978</v>
      </c>
      <c r="O77" s="22">
        <f>SUM(O6:O76)</f>
        <v>15119636.988000004</v>
      </c>
      <c r="P77" s="22">
        <f>SUM(P6:P76)</f>
        <v>1384421.9440625</v>
      </c>
      <c r="Q77" s="36"/>
      <c r="S77" s="46">
        <f>SUM(S6:S76)</f>
        <v>1054178.6899999997</v>
      </c>
      <c r="T77" s="41">
        <f>SUM(T6:T76)</f>
        <v>184995.34000000003</v>
      </c>
      <c r="U77" s="26">
        <f>S77+T77</f>
        <v>1239174.0299999998</v>
      </c>
      <c r="W77" s="26">
        <f t="shared" si="19"/>
        <v>145247.91406250023</v>
      </c>
    </row>
    <row r="78" spans="1:23">
      <c r="A78" s="7" t="s">
        <v>1</v>
      </c>
      <c r="B78" s="7" t="s">
        <v>1</v>
      </c>
      <c r="Q78" s="36"/>
    </row>
    <row r="79" spans="1:23">
      <c r="A79" s="7"/>
      <c r="B79" s="7"/>
      <c r="C79" s="13"/>
      <c r="D79" s="13"/>
      <c r="E79" s="13"/>
      <c r="F79" s="13"/>
      <c r="G79" s="13"/>
      <c r="H79" s="13"/>
      <c r="I79" s="26"/>
      <c r="M79" s="26"/>
    </row>
    <row r="80" spans="1:23">
      <c r="A80" s="7"/>
      <c r="B80" s="7"/>
      <c r="C80" s="14"/>
      <c r="D80" s="47"/>
      <c r="E80" s="14"/>
      <c r="F80" s="14"/>
      <c r="G80" s="14"/>
      <c r="H80" s="14"/>
      <c r="I80" s="14"/>
      <c r="K80" s="39"/>
    </row>
    <row r="81" spans="1:17">
      <c r="A81" s="7"/>
      <c r="B81" s="7"/>
      <c r="C81" s="13"/>
      <c r="D81" s="26"/>
      <c r="E81" s="26"/>
      <c r="F81" s="26"/>
      <c r="G81" s="26"/>
      <c r="H81" s="13"/>
      <c r="I81" s="26"/>
      <c r="K81" s="26"/>
      <c r="M81" s="50" t="s">
        <v>4</v>
      </c>
      <c r="N81" s="51"/>
    </row>
    <row r="82" spans="1:17">
      <c r="A82" s="7"/>
      <c r="B82" s="7"/>
      <c r="D82" s="26"/>
      <c r="E82" s="26"/>
      <c r="F82" s="26"/>
      <c r="G82" s="26"/>
      <c r="H82" s="26"/>
      <c r="J82" s="13"/>
      <c r="K82" s="26"/>
      <c r="M82" s="52">
        <f>SUM(K6:K75)</f>
        <v>2864909.3000000003</v>
      </c>
      <c r="N82" s="53"/>
    </row>
    <row r="83" spans="1:17">
      <c r="A83" s="7"/>
      <c r="B83" s="7"/>
      <c r="J83" s="13"/>
      <c r="K83" s="26"/>
    </row>
    <row r="84" spans="1:17">
      <c r="A84" s="7"/>
      <c r="B84" s="7"/>
      <c r="H84" s="26"/>
      <c r="N84" s="35"/>
    </row>
    <row r="85" spans="1:17">
      <c r="A85" s="7" t="s">
        <v>1</v>
      </c>
      <c r="B85" s="7" t="s">
        <v>1</v>
      </c>
      <c r="N85" s="35"/>
    </row>
    <row r="86" spans="1:17">
      <c r="A86" s="7" t="s">
        <v>1</v>
      </c>
      <c r="B86" s="7" t="s">
        <v>1</v>
      </c>
      <c r="N86" s="35"/>
    </row>
    <row r="87" spans="1:17">
      <c r="A87" s="7"/>
      <c r="B87" s="7"/>
    </row>
    <row r="88" spans="1:17">
      <c r="A88" s="7"/>
      <c r="B88" s="7"/>
    </row>
    <row r="89" spans="1:17">
      <c r="A89" s="7"/>
      <c r="B89" s="7"/>
      <c r="Q89" s="11"/>
    </row>
    <row r="90" spans="1:17">
      <c r="A90" s="7" t="s">
        <v>1</v>
      </c>
      <c r="B90" s="7"/>
      <c r="H90" s="24"/>
      <c r="I90" s="25"/>
      <c r="J90" s="24"/>
    </row>
    <row r="91" spans="1:17">
      <c r="A91" s="7"/>
      <c r="B91" s="7"/>
      <c r="H91" s="24"/>
      <c r="I91" s="25"/>
      <c r="J91" s="24"/>
      <c r="Q91" s="11"/>
    </row>
    <row r="92" spans="1:17">
      <c r="A92" s="7" t="s">
        <v>1</v>
      </c>
      <c r="B92" s="7"/>
      <c r="H92" s="24"/>
      <c r="I92" s="25"/>
      <c r="J92" s="24"/>
    </row>
    <row r="93" spans="1:17">
      <c r="A93" s="7" t="s">
        <v>1</v>
      </c>
      <c r="B93" s="7"/>
      <c r="H93" s="24"/>
      <c r="I93" s="25"/>
      <c r="J93" s="24"/>
      <c r="Q93" s="11"/>
    </row>
    <row r="94" spans="1:17">
      <c r="A94" s="7" t="s">
        <v>1</v>
      </c>
      <c r="B94" s="7"/>
      <c r="H94" s="24"/>
      <c r="I94" s="25"/>
      <c r="J94" s="24"/>
      <c r="Q94" s="11"/>
    </row>
    <row r="95" spans="1:17">
      <c r="A95" s="7" t="s">
        <v>1</v>
      </c>
      <c r="B95" s="7"/>
      <c r="H95" s="24"/>
      <c r="I95" s="25"/>
      <c r="J95" s="24"/>
      <c r="Q95" s="11"/>
    </row>
    <row r="96" spans="1:17">
      <c r="A96" s="7" t="s">
        <v>1</v>
      </c>
      <c r="B96" s="7"/>
      <c r="H96" s="24"/>
      <c r="I96" s="25"/>
      <c r="J96" s="24"/>
      <c r="Q96" s="11"/>
    </row>
    <row r="97" spans="1:17">
      <c r="A97" s="7" t="s">
        <v>1</v>
      </c>
      <c r="B97" s="7"/>
      <c r="H97" s="24"/>
      <c r="I97" s="25"/>
      <c r="J97" s="24"/>
      <c r="Q97" s="11"/>
    </row>
    <row r="98" spans="1:17">
      <c r="A98" s="7" t="s">
        <v>1</v>
      </c>
      <c r="B98" s="7"/>
      <c r="H98" s="24"/>
      <c r="I98" s="25"/>
      <c r="J98" s="24"/>
      <c r="Q98" s="11"/>
    </row>
    <row r="99" spans="1:17">
      <c r="A99" s="7" t="s">
        <v>1</v>
      </c>
      <c r="H99" s="24"/>
      <c r="I99" s="25"/>
      <c r="J99" s="24"/>
      <c r="Q99" s="11"/>
    </row>
    <row r="100" spans="1:17">
      <c r="A100" s="7" t="s">
        <v>1</v>
      </c>
      <c r="H100" s="24"/>
      <c r="I100" s="25"/>
      <c r="J100" s="24"/>
      <c r="Q100" s="11"/>
    </row>
    <row r="101" spans="1:17">
      <c r="A101" s="7" t="s">
        <v>1</v>
      </c>
      <c r="H101" s="24"/>
      <c r="I101" s="25"/>
      <c r="J101" s="24"/>
      <c r="Q101" s="15"/>
    </row>
    <row r="102" spans="1:17">
      <c r="H102" s="24"/>
      <c r="I102" s="25"/>
      <c r="J102" s="24"/>
    </row>
    <row r="103" spans="1:17">
      <c r="H103" s="24"/>
      <c r="I103" s="25"/>
      <c r="J103" s="24"/>
      <c r="Q103" s="16"/>
    </row>
    <row r="104" spans="1:17">
      <c r="H104" s="24"/>
      <c r="I104" s="25"/>
      <c r="J104" s="24"/>
      <c r="K104" s="17"/>
      <c r="L104" s="17"/>
      <c r="M104" s="17"/>
      <c r="N104" s="12"/>
      <c r="O104" s="18"/>
      <c r="Q104" s="16"/>
    </row>
    <row r="105" spans="1:17">
      <c r="H105" s="24"/>
      <c r="I105" s="25"/>
      <c r="J105" s="24"/>
      <c r="Q105" s="16"/>
    </row>
    <row r="106" spans="1:17">
      <c r="H106" s="24"/>
      <c r="I106" s="25"/>
      <c r="J106" s="24"/>
    </row>
    <row r="107" spans="1:17">
      <c r="H107" s="24"/>
      <c r="I107" s="25"/>
      <c r="J107" s="24"/>
      <c r="Q107" s="15"/>
    </row>
    <row r="108" spans="1:17">
      <c r="H108" s="24"/>
      <c r="I108" s="25"/>
      <c r="J108" s="24"/>
      <c r="M108" s="17"/>
      <c r="Q108" s="15"/>
    </row>
    <row r="109" spans="1:17">
      <c r="H109" s="24"/>
      <c r="I109" s="25"/>
      <c r="J109" s="24"/>
    </row>
    <row r="110" spans="1:17">
      <c r="Q110" s="16"/>
    </row>
    <row r="111" spans="1:17">
      <c r="Q111" s="16"/>
    </row>
    <row r="113" spans="17:17">
      <c r="Q113" s="16"/>
    </row>
    <row r="209" spans="10:10">
      <c r="J209" s="19" t="s">
        <v>1</v>
      </c>
    </row>
    <row r="210" spans="10:10">
      <c r="J210" s="19" t="s">
        <v>1</v>
      </c>
    </row>
    <row r="211" spans="10:10">
      <c r="J211" s="19" t="s">
        <v>1</v>
      </c>
    </row>
    <row r="212" spans="10:10">
      <c r="J212" s="19" t="s">
        <v>1</v>
      </c>
    </row>
    <row r="213" spans="10:10">
      <c r="J213" s="19" t="s">
        <v>1</v>
      </c>
    </row>
    <row r="214" spans="10:10">
      <c r="J214" s="19" t="s">
        <v>1</v>
      </c>
    </row>
    <row r="215" spans="10:10">
      <c r="J215" s="19" t="s">
        <v>1</v>
      </c>
    </row>
    <row r="216" spans="10:10">
      <c r="J216" s="19" t="s">
        <v>1</v>
      </c>
    </row>
    <row r="217" spans="10:10">
      <c r="J217" s="19" t="s">
        <v>1</v>
      </c>
    </row>
    <row r="218" spans="10:10">
      <c r="J218" s="19" t="s">
        <v>1</v>
      </c>
    </row>
  </sheetData>
  <mergeCells count="7">
    <mergeCell ref="A77:B77"/>
    <mergeCell ref="M81:N81"/>
    <mergeCell ref="M82:N82"/>
    <mergeCell ref="O1:P1"/>
    <mergeCell ref="O2:P2"/>
    <mergeCell ref="O3:P3"/>
    <mergeCell ref="O4:P4"/>
  </mergeCells>
  <printOptions horizontalCentered="1" gridLines="1"/>
  <pageMargins left="0.25" right="0.25" top="0.75" bottom="0.75" header="0.3" footer="0.3"/>
  <pageSetup scale="63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A3CD-E93A-4495-BCF3-6458053DE9EC}">
  <dimension ref="E1:K19"/>
  <sheetViews>
    <sheetView workbookViewId="0">
      <selection activeCell="K19" sqref="K19"/>
    </sheetView>
  </sheetViews>
  <sheetFormatPr defaultRowHeight="15"/>
  <cols>
    <col min="5" max="5" width="14.28515625" style="1" bestFit="1" customWidth="1"/>
    <col min="7" max="7" width="12.5703125" bestFit="1" customWidth="1"/>
    <col min="9" max="9" width="11.5703125" bestFit="1" customWidth="1"/>
    <col min="11" max="11" width="11.5703125" bestFit="1" customWidth="1"/>
  </cols>
  <sheetData>
    <row r="1" spans="5:11">
      <c r="G1">
        <v>0.05</v>
      </c>
    </row>
    <row r="2" spans="5:11">
      <c r="E2" s="1">
        <v>559110.71</v>
      </c>
      <c r="G2" s="1">
        <f>E2*$G$1</f>
        <v>27955.535499999998</v>
      </c>
      <c r="I2" s="1">
        <v>19744.12</v>
      </c>
      <c r="K2" s="2">
        <f>G2-I2</f>
        <v>8211.4154999999992</v>
      </c>
    </row>
    <row r="3" spans="5:11">
      <c r="E3" s="1">
        <v>66343.600000000006</v>
      </c>
      <c r="G3" s="1">
        <f t="shared" ref="G3:G14" si="0">E3*$G$1</f>
        <v>3317.1800000000003</v>
      </c>
      <c r="I3" s="1">
        <v>1958.72</v>
      </c>
      <c r="K3" s="2">
        <f t="shared" ref="K3:K14" si="1">G3-I3</f>
        <v>1358.4600000000003</v>
      </c>
    </row>
    <row r="4" spans="5:11">
      <c r="E4" s="1">
        <v>329911.7</v>
      </c>
      <c r="G4" s="1">
        <f t="shared" si="0"/>
        <v>16495.585000000003</v>
      </c>
      <c r="I4" s="1">
        <v>6700.32</v>
      </c>
      <c r="K4" s="2">
        <f t="shared" si="1"/>
        <v>9795.2650000000031</v>
      </c>
    </row>
    <row r="5" spans="5:11">
      <c r="E5" s="1">
        <v>19609.09</v>
      </c>
      <c r="G5" s="1">
        <f t="shared" si="0"/>
        <v>980.45450000000005</v>
      </c>
      <c r="I5" s="1">
        <v>980.45</v>
      </c>
      <c r="K5" s="2">
        <f t="shared" si="1"/>
        <v>4.500000000007276E-3</v>
      </c>
    </row>
    <row r="6" spans="5:11">
      <c r="E6" s="1">
        <v>431501.5</v>
      </c>
      <c r="G6" s="1">
        <f t="shared" si="0"/>
        <v>21575.075000000001</v>
      </c>
      <c r="I6" s="1">
        <v>15026.5</v>
      </c>
      <c r="K6" s="2">
        <f t="shared" si="1"/>
        <v>6548.5750000000007</v>
      </c>
    </row>
    <row r="7" spans="5:11">
      <c r="E7" s="1">
        <v>42680.34</v>
      </c>
      <c r="G7" s="1">
        <f t="shared" si="0"/>
        <v>2134.0169999999998</v>
      </c>
      <c r="I7" s="1">
        <v>2134.02</v>
      </c>
      <c r="K7" s="2">
        <f t="shared" si="1"/>
        <v>-3.0000000001564331E-3</v>
      </c>
    </row>
    <row r="8" spans="5:11">
      <c r="E8" s="1">
        <v>170408.85</v>
      </c>
      <c r="G8" s="1">
        <f t="shared" si="0"/>
        <v>8520.442500000001</v>
      </c>
      <c r="I8" s="1">
        <v>3946.92</v>
      </c>
      <c r="K8" s="2">
        <f t="shared" si="1"/>
        <v>4573.5225000000009</v>
      </c>
    </row>
    <row r="9" spans="5:11">
      <c r="E9" s="1">
        <v>77498</v>
      </c>
      <c r="G9" s="1">
        <f t="shared" si="0"/>
        <v>3874.9</v>
      </c>
      <c r="I9" s="1">
        <v>0</v>
      </c>
      <c r="K9" s="2">
        <f t="shared" si="1"/>
        <v>3874.9</v>
      </c>
    </row>
    <row r="10" spans="5:11">
      <c r="E10" s="1">
        <v>6075.09</v>
      </c>
      <c r="G10" s="1">
        <f t="shared" si="0"/>
        <v>303.75450000000001</v>
      </c>
      <c r="I10" s="1">
        <v>162.24</v>
      </c>
      <c r="K10" s="2">
        <f t="shared" si="1"/>
        <v>141.5145</v>
      </c>
    </row>
    <row r="11" spans="5:11">
      <c r="E11" s="1">
        <v>6000</v>
      </c>
      <c r="G11" s="1">
        <f t="shared" si="0"/>
        <v>300</v>
      </c>
      <c r="I11" s="1">
        <v>0</v>
      </c>
      <c r="K11" s="2">
        <f t="shared" si="1"/>
        <v>300</v>
      </c>
    </row>
    <row r="12" spans="5:11">
      <c r="E12" s="1">
        <v>419330.49</v>
      </c>
      <c r="G12" s="1">
        <f t="shared" si="0"/>
        <v>20966.5245</v>
      </c>
      <c r="I12" s="1">
        <v>12343.37</v>
      </c>
      <c r="K12" s="2">
        <f t="shared" si="1"/>
        <v>8623.1544999999987</v>
      </c>
    </row>
    <row r="13" spans="5:11">
      <c r="E13" s="1">
        <v>283022.2</v>
      </c>
      <c r="G13" s="1">
        <f t="shared" si="0"/>
        <v>14151.11</v>
      </c>
      <c r="I13" s="1">
        <v>8827.8799999999992</v>
      </c>
      <c r="K13" s="2">
        <f t="shared" si="1"/>
        <v>5323.2300000000014</v>
      </c>
    </row>
    <row r="14" spans="5:11">
      <c r="E14" s="1">
        <v>96459.66</v>
      </c>
      <c r="G14" s="1">
        <f t="shared" si="0"/>
        <v>4822.9830000000002</v>
      </c>
      <c r="I14" s="1">
        <v>2872.98</v>
      </c>
      <c r="K14" s="2">
        <f t="shared" si="1"/>
        <v>1950.0030000000002</v>
      </c>
    </row>
    <row r="15" spans="5:11">
      <c r="G15" s="1"/>
    </row>
    <row r="16" spans="5:11">
      <c r="E16" s="1">
        <f>SUM(E2:E15)</f>
        <v>2507951.2300000004</v>
      </c>
      <c r="G16" s="1">
        <f>SUM(G2:G15)</f>
        <v>125397.56150000001</v>
      </c>
      <c r="I16" s="1">
        <f>SUM(I2:I15)</f>
        <v>74697.51999999999</v>
      </c>
      <c r="K16" s="1">
        <f>SUM(K2:K15)</f>
        <v>50700.041499999999</v>
      </c>
    </row>
    <row r="19" spans="11:11">
      <c r="K19" t="s">
        <v>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2075a9-2315-4463-b8ed-81326839206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D9C73746DF034C84C1896DFC37E01D" ma:contentTypeVersion="4" ma:contentTypeDescription="Create a new document." ma:contentTypeScope="" ma:versionID="68a6ac4acdd57c0ec018866aef85a87d">
  <xsd:schema xmlns:xsd="http://www.w3.org/2001/XMLSchema" xmlns:xs="http://www.w3.org/2001/XMLSchema" xmlns:p="http://schemas.microsoft.com/office/2006/metadata/properties" xmlns:ns3="852075a9-2315-4463-b8ed-813268392069" targetNamespace="http://schemas.microsoft.com/office/2006/metadata/properties" ma:root="true" ma:fieldsID="87edfdd2c5569737e21269e9e86db99d" ns3:_="">
    <xsd:import namespace="852075a9-2315-4463-b8ed-813268392069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2075a9-2315-4463-b8ed-813268392069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FF6BDF1-4B35-4FB0-BDC9-37C6360D31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EA917A7-2AF6-4308-9F00-2A3F144592D5}">
  <ds:schemaRefs>
    <ds:schemaRef ds:uri="http://purl.org/dc/elements/1.1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852075a9-2315-4463-b8ed-813268392069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93B30E6-B133-46F5-AA60-77BD01DB07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2075a9-2315-4463-b8ed-8132683920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(Tab #2) 23-607-00</vt:lpstr>
      <vt:lpstr>Sheet1</vt:lpstr>
      <vt:lpstr>'(Tab #2) 23-607-00'!Print_Area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Griffin</dc:creator>
  <cp:lastModifiedBy>Stephanie Metz</cp:lastModifiedBy>
  <cp:lastPrinted>2024-04-08T18:09:30Z</cp:lastPrinted>
  <dcterms:created xsi:type="dcterms:W3CDTF">2023-11-02T14:10:47Z</dcterms:created>
  <dcterms:modified xsi:type="dcterms:W3CDTF">2025-07-03T17:54:14Z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0x0101003CD9C73746DF034C84C1896DFC37E01D</vt:lpwstr>
  </property>
</Properties>
</file>