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Mestrado\masters_thesis\experiments\assessment_tool\"/>
    </mc:Choice>
  </mc:AlternateContent>
  <xr:revisionPtr revIDLastSave="0" documentId="13_ncr:1_{0A23B2F4-0079-4B65-85C9-146087B83A19}" xr6:coauthVersionLast="47" xr6:coauthVersionMax="47" xr10:uidLastSave="{00000000-0000-0000-0000-000000000000}"/>
  <bookViews>
    <workbookView xWindow="-120" yWindow="-120" windowWidth="29040" windowHeight="15720" firstSheet="1" activeTab="5" xr2:uid="{FB3C0920-EF59-45B8-B338-8F48591363B5}"/>
  </bookViews>
  <sheets>
    <sheet name="Sheet1" sheetId="1" r:id="rId1"/>
    <sheet name="Perceptions database" sheetId="2" r:id="rId2"/>
    <sheet name="Pavement type accuracy" sheetId="5" r:id="rId3"/>
    <sheet name="Pavement defects accuracy" sheetId="7" r:id="rId4"/>
    <sheet name="Cycle infrastructure accuracy" sheetId="8" r:id="rId5"/>
    <sheet name="Road type" sheetId="9" r:id="rId6"/>
    <sheet name="Calculation" sheetId="4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9" l="1"/>
  <c r="V5" i="9"/>
  <c r="W5" i="9"/>
  <c r="V4" i="9"/>
  <c r="V5" i="8"/>
  <c r="W4" i="8"/>
  <c r="W5" i="8"/>
  <c r="V4" i="8"/>
  <c r="W4" i="7"/>
  <c r="V5" i="7"/>
  <c r="W5" i="7"/>
  <c r="V4" i="7"/>
  <c r="R56" i="5"/>
  <c r="T55" i="5"/>
  <c r="S56" i="5"/>
  <c r="R55" i="5"/>
  <c r="T54" i="5"/>
  <c r="S54" i="5"/>
  <c r="T56" i="5"/>
  <c r="S55" i="5"/>
  <c r="R54" i="5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E1" i="9"/>
  <c r="E41" i="9"/>
  <c r="E40" i="9"/>
  <c r="E39" i="9"/>
  <c r="E38" i="9"/>
  <c r="E30" i="9"/>
  <c r="E29" i="9"/>
  <c r="E28" i="9"/>
  <c r="E27" i="9"/>
  <c r="E26" i="9"/>
  <c r="E18" i="9"/>
  <c r="E17" i="9"/>
  <c r="E16" i="9"/>
  <c r="E15" i="9"/>
  <c r="E14" i="9"/>
  <c r="E6" i="9"/>
  <c r="E5" i="9"/>
  <c r="E4" i="9"/>
  <c r="E3" i="9"/>
  <c r="E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2" i="9"/>
  <c r="E7" i="9"/>
  <c r="E8" i="9"/>
  <c r="E9" i="9"/>
  <c r="E10" i="9"/>
  <c r="E11" i="9"/>
  <c r="E12" i="9"/>
  <c r="E13" i="9"/>
  <c r="E19" i="9"/>
  <c r="E20" i="9"/>
  <c r="E21" i="9"/>
  <c r="E22" i="9"/>
  <c r="E23" i="9"/>
  <c r="E24" i="9"/>
  <c r="E25" i="9"/>
  <c r="E31" i="9"/>
  <c r="E32" i="9"/>
  <c r="E33" i="9"/>
  <c r="E34" i="9"/>
  <c r="E35" i="9"/>
  <c r="E36" i="9"/>
  <c r="E37" i="9"/>
  <c r="E42" i="9"/>
  <c r="E43" i="9"/>
  <c r="E44" i="9"/>
  <c r="E45" i="9"/>
  <c r="E46" i="9"/>
  <c r="E47" i="9"/>
  <c r="E48" i="9"/>
  <c r="E49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2" i="8"/>
  <c r="H1" i="8" s="1"/>
  <c r="I1" i="8" s="1"/>
  <c r="I2" i="7"/>
  <c r="K2" i="7"/>
  <c r="J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2" i="8"/>
  <c r="K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  <c r="O22" i="2"/>
  <c r="S22" i="2" s="1"/>
  <c r="T22" i="2" s="1"/>
  <c r="O47" i="2"/>
  <c r="S47" i="2" s="1"/>
  <c r="T47" i="2" s="1"/>
  <c r="O13" i="2"/>
  <c r="O27" i="2"/>
  <c r="O17" i="2"/>
  <c r="O33" i="2"/>
  <c r="O26" i="2"/>
  <c r="O49" i="2"/>
  <c r="O4" i="2"/>
  <c r="O34" i="2"/>
  <c r="O31" i="2"/>
  <c r="O42" i="2"/>
  <c r="O38" i="2"/>
  <c r="O15" i="2"/>
  <c r="O46" i="2"/>
  <c r="O12" i="2"/>
  <c r="O24" i="2"/>
  <c r="O19" i="2"/>
  <c r="O6" i="2"/>
  <c r="O18" i="2"/>
  <c r="O45" i="2"/>
  <c r="O14" i="2"/>
  <c r="O2" i="2"/>
  <c r="O9" i="2"/>
  <c r="O21" i="2"/>
  <c r="O29" i="2"/>
  <c r="O44" i="2"/>
  <c r="O30" i="2"/>
  <c r="O48" i="2"/>
  <c r="O23" i="2"/>
  <c r="S23" i="2" s="1"/>
  <c r="O43" i="2"/>
  <c r="O8" i="2"/>
  <c r="O20" i="2"/>
  <c r="O3" i="2"/>
  <c r="O7" i="2"/>
  <c r="O36" i="2"/>
  <c r="O37" i="2"/>
  <c r="S37" i="2" s="1"/>
  <c r="O32" i="2"/>
  <c r="O28" i="2"/>
  <c r="O39" i="2"/>
  <c r="O11" i="2"/>
  <c r="O16" i="2"/>
  <c r="O5" i="2"/>
  <c r="O25" i="2"/>
  <c r="O41" i="2"/>
  <c r="O35" i="2"/>
  <c r="S35" i="2" s="1"/>
  <c r="O40" i="2"/>
  <c r="O10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2" i="5"/>
  <c r="K2" i="5"/>
  <c r="L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2" i="5"/>
  <c r="L22" i="2"/>
  <c r="L47" i="2"/>
  <c r="M47" i="2" s="1"/>
  <c r="L13" i="2"/>
  <c r="M13" i="2" s="1"/>
  <c r="L27" i="2"/>
  <c r="L17" i="2"/>
  <c r="M17" i="2" s="1"/>
  <c r="L33" i="2"/>
  <c r="L26" i="2"/>
  <c r="M26" i="2" s="1"/>
  <c r="L49" i="2"/>
  <c r="L4" i="2"/>
  <c r="M4" i="2" s="1"/>
  <c r="L34" i="2"/>
  <c r="L31" i="2"/>
  <c r="M31" i="2" s="1"/>
  <c r="L42" i="2"/>
  <c r="L38" i="2"/>
  <c r="L15" i="2"/>
  <c r="M15" i="2" s="1"/>
  <c r="L46" i="2"/>
  <c r="L12" i="2"/>
  <c r="M12" i="2" s="1"/>
  <c r="L24" i="2"/>
  <c r="M24" i="2" s="1"/>
  <c r="L19" i="2"/>
  <c r="M19" i="2" s="1"/>
  <c r="L6" i="2"/>
  <c r="M6" i="2" s="1"/>
  <c r="L18" i="2"/>
  <c r="M18" i="2" s="1"/>
  <c r="L45" i="2"/>
  <c r="L14" i="2"/>
  <c r="M14" i="2" s="1"/>
  <c r="L2" i="2"/>
  <c r="M2" i="2" s="1"/>
  <c r="L9" i="2"/>
  <c r="L21" i="2"/>
  <c r="L29" i="2"/>
  <c r="L44" i="2"/>
  <c r="L30" i="2"/>
  <c r="M30" i="2" s="1"/>
  <c r="L48" i="2"/>
  <c r="L23" i="2"/>
  <c r="M23" i="2" s="1"/>
  <c r="L43" i="2"/>
  <c r="M43" i="2" s="1"/>
  <c r="L8" i="2"/>
  <c r="M8" i="2" s="1"/>
  <c r="L20" i="2"/>
  <c r="M20" i="2" s="1"/>
  <c r="L3" i="2"/>
  <c r="M3" i="2" s="1"/>
  <c r="L7" i="2"/>
  <c r="M7" i="2" s="1"/>
  <c r="L36" i="2"/>
  <c r="L37" i="2"/>
  <c r="L32" i="2"/>
  <c r="M32" i="2" s="1"/>
  <c r="L28" i="2"/>
  <c r="M28" i="2" s="1"/>
  <c r="L39" i="2"/>
  <c r="M39" i="2" s="1"/>
  <c r="L11" i="2"/>
  <c r="L16" i="2"/>
  <c r="M16" i="2" s="1"/>
  <c r="L5" i="2"/>
  <c r="M5" i="2" s="1"/>
  <c r="L25" i="2"/>
  <c r="M25" i="2" s="1"/>
  <c r="L41" i="2"/>
  <c r="L35" i="2"/>
  <c r="L40" i="2"/>
  <c r="L10" i="2"/>
  <c r="M10" i="2" s="1"/>
  <c r="F10" i="4"/>
  <c r="F7" i="4"/>
  <c r="H7" i="4" s="1"/>
  <c r="F4" i="4"/>
  <c r="H3" i="4" s="1"/>
  <c r="H5" i="4"/>
  <c r="K49" i="1"/>
  <c r="K9" i="1"/>
  <c r="K10" i="1"/>
  <c r="K17" i="1"/>
  <c r="K18" i="1"/>
  <c r="K25" i="1"/>
  <c r="K26" i="1"/>
  <c r="K33" i="1"/>
  <c r="K34" i="1"/>
  <c r="K41" i="1"/>
  <c r="K4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2" i="1"/>
  <c r="J2" i="1" s="1"/>
  <c r="N7" i="1"/>
  <c r="N6" i="1"/>
  <c r="N5" i="1"/>
  <c r="N4" i="1"/>
  <c r="N3" i="1"/>
  <c r="N2" i="1"/>
  <c r="S38" i="2" l="1"/>
  <c r="Q30" i="2"/>
  <c r="Q15" i="2"/>
  <c r="Q2" i="2"/>
  <c r="S46" i="2"/>
  <c r="T46" i="2" s="1"/>
  <c r="Q38" i="2"/>
  <c r="T37" i="2"/>
  <c r="Q14" i="2"/>
  <c r="Q49" i="2"/>
  <c r="Q37" i="2"/>
  <c r="Q25" i="2"/>
  <c r="Q26" i="2"/>
  <c r="S12" i="2"/>
  <c r="T12" i="2" s="1"/>
  <c r="Q13" i="2"/>
  <c r="Q48" i="2"/>
  <c r="Q36" i="2"/>
  <c r="Q24" i="2"/>
  <c r="Q3" i="2"/>
  <c r="S11" i="2"/>
  <c r="T11" i="2" s="1"/>
  <c r="Q12" i="2"/>
  <c r="Q47" i="2"/>
  <c r="Q35" i="2"/>
  <c r="Q23" i="2"/>
  <c r="S34" i="2"/>
  <c r="T34" i="2" s="1"/>
  <c r="Q11" i="2"/>
  <c r="Q46" i="2"/>
  <c r="Q34" i="2"/>
  <c r="Q22" i="2"/>
  <c r="S21" i="2"/>
  <c r="T21" i="2" s="1"/>
  <c r="S9" i="2"/>
  <c r="T9" i="2" s="1"/>
  <c r="Q10" i="2"/>
  <c r="Q45" i="2"/>
  <c r="Q33" i="2"/>
  <c r="Q21" i="2"/>
  <c r="Q9" i="2"/>
  <c r="Q44" i="2"/>
  <c r="Q32" i="2"/>
  <c r="Q20" i="2"/>
  <c r="Q8" i="2"/>
  <c r="Q43" i="2"/>
  <c r="Q31" i="2"/>
  <c r="Q19" i="2"/>
  <c r="Q7" i="2"/>
  <c r="Q42" i="2"/>
  <c r="Q18" i="2"/>
  <c r="Q6" i="2"/>
  <c r="Q41" i="2"/>
  <c r="Q29" i="2"/>
  <c r="Q17" i="2"/>
  <c r="Q5" i="2"/>
  <c r="Q40" i="2"/>
  <c r="Q28" i="2"/>
  <c r="Q16" i="2"/>
  <c r="V1" i="2"/>
  <c r="Q4" i="2"/>
  <c r="Q39" i="2"/>
  <c r="Q27" i="2"/>
  <c r="T35" i="2"/>
  <c r="T23" i="2"/>
  <c r="S33" i="2"/>
  <c r="T33" i="2" s="1"/>
  <c r="S36" i="2"/>
  <c r="T36" i="2" s="1"/>
  <c r="S24" i="2"/>
  <c r="T24" i="2" s="1"/>
  <c r="T38" i="2"/>
  <c r="S44" i="2"/>
  <c r="T44" i="2" s="1"/>
  <c r="S32" i="2"/>
  <c r="T32" i="2" s="1"/>
  <c r="S7" i="2"/>
  <c r="T7" i="2" s="1"/>
  <c r="S31" i="2"/>
  <c r="S48" i="2"/>
  <c r="T48" i="2" s="1"/>
  <c r="S13" i="2"/>
  <c r="T13" i="2" s="1"/>
  <c r="S49" i="2"/>
  <c r="T49" i="2" s="1"/>
  <c r="S10" i="2"/>
  <c r="T10" i="2" s="1"/>
  <c r="S45" i="2"/>
  <c r="T45" i="2" s="1"/>
  <c r="S20" i="2"/>
  <c r="T20" i="2" s="1"/>
  <c r="S8" i="2"/>
  <c r="T8" i="2" s="1"/>
  <c r="S43" i="2"/>
  <c r="T43" i="2" s="1"/>
  <c r="S19" i="2"/>
  <c r="T19" i="2" s="1"/>
  <c r="S42" i="2"/>
  <c r="T42" i="2" s="1"/>
  <c r="S30" i="2"/>
  <c r="T30" i="2" s="1"/>
  <c r="S18" i="2"/>
  <c r="T18" i="2" s="1"/>
  <c r="S6" i="2"/>
  <c r="T6" i="2" s="1"/>
  <c r="T31" i="2"/>
  <c r="S41" i="2"/>
  <c r="T41" i="2" s="1"/>
  <c r="S29" i="2"/>
  <c r="T29" i="2" s="1"/>
  <c r="S17" i="2"/>
  <c r="T17" i="2" s="1"/>
  <c r="S5" i="2"/>
  <c r="T5" i="2" s="1"/>
  <c r="S40" i="2"/>
  <c r="T40" i="2" s="1"/>
  <c r="S28" i="2"/>
  <c r="T28" i="2" s="1"/>
  <c r="S16" i="2"/>
  <c r="T16" i="2" s="1"/>
  <c r="S4" i="2"/>
  <c r="T4" i="2" s="1"/>
  <c r="S39" i="2"/>
  <c r="T39" i="2" s="1"/>
  <c r="S27" i="2"/>
  <c r="T27" i="2" s="1"/>
  <c r="S15" i="2"/>
  <c r="T15" i="2" s="1"/>
  <c r="S3" i="2"/>
  <c r="T3" i="2" s="1"/>
  <c r="S2" i="2"/>
  <c r="S26" i="2"/>
  <c r="T26" i="2" s="1"/>
  <c r="S14" i="2"/>
  <c r="T14" i="2" s="1"/>
  <c r="S25" i="2"/>
  <c r="T25" i="2" s="1"/>
  <c r="I2" i="9"/>
  <c r="H2" i="9"/>
  <c r="E1" i="8"/>
  <c r="J2" i="8"/>
  <c r="K38" i="1"/>
  <c r="K30" i="1"/>
  <c r="K22" i="1"/>
  <c r="K14" i="1"/>
  <c r="K6" i="1"/>
  <c r="K46" i="1"/>
  <c r="K37" i="1"/>
  <c r="K29" i="1"/>
  <c r="K21" i="1"/>
  <c r="K13" i="1"/>
  <c r="K5" i="1"/>
  <c r="K45" i="1"/>
  <c r="K36" i="1"/>
  <c r="K28" i="1"/>
  <c r="K20" i="1"/>
  <c r="K12" i="1"/>
  <c r="K4" i="1"/>
  <c r="K44" i="1"/>
  <c r="K39" i="1"/>
  <c r="K31" i="1"/>
  <c r="K23" i="1"/>
  <c r="K15" i="1"/>
  <c r="K7" i="1"/>
  <c r="K2" i="1"/>
  <c r="K35" i="1"/>
  <c r="K27" i="1"/>
  <c r="K19" i="1"/>
  <c r="K11" i="1"/>
  <c r="K3" i="1"/>
  <c r="K50" i="1"/>
  <c r="K40" i="1"/>
  <c r="K32" i="1"/>
  <c r="K24" i="1"/>
  <c r="K16" i="1"/>
  <c r="K8" i="1"/>
  <c r="K48" i="1"/>
  <c r="K47" i="1"/>
  <c r="H4" i="4"/>
  <c r="S1" i="2" l="1"/>
  <c r="T2" i="2"/>
</calcChain>
</file>

<file path=xl/sharedStrings.xml><?xml version="1.0" encoding="utf-8"?>
<sst xmlns="http://schemas.openxmlformats.org/spreadsheetml/2006/main" count="1162" uniqueCount="221">
  <si>
    <t>Lat</t>
  </si>
  <si>
    <t>Lon</t>
  </si>
  <si>
    <t>Route type</t>
  </si>
  <si>
    <t>Pavement type</t>
  </si>
  <si>
    <t>Defects</t>
  </si>
  <si>
    <t>Cycle infrastructure</t>
  </si>
  <si>
    <t>Rotation</t>
  </si>
  <si>
    <t>Asphalt</t>
  </si>
  <si>
    <t>No</t>
  </si>
  <si>
    <t>Yes</t>
  </si>
  <si>
    <t>Local</t>
  </si>
  <si>
    <t>38.7369438</t>
  </si>
  <si>
    <t>-9.1900867</t>
  </si>
  <si>
    <t>Unpaved</t>
  </si>
  <si>
    <t>38.7319946</t>
  </si>
  <si>
    <t>-9.1049083</t>
  </si>
  <si>
    <t>38.7380341</t>
  </si>
  <si>
    <t>-9.1255956</t>
  </si>
  <si>
    <t>Image name</t>
  </si>
  <si>
    <t>38.7384427</t>
  </si>
  <si>
    <t>-9.1255362</t>
  </si>
  <si>
    <t>38.7386999</t>
  </si>
  <si>
    <t>-9.1336203</t>
  </si>
  <si>
    <t>Cobblestone</t>
  </si>
  <si>
    <t>Major road</t>
  </si>
  <si>
    <t>38.7442663</t>
  </si>
  <si>
    <t>-9.1375879</t>
  </si>
  <si>
    <t>38.7065136</t>
  </si>
  <si>
    <t>-9.1376293</t>
  </si>
  <si>
    <t>38.7065507</t>
  </si>
  <si>
    <t>-9.1487473</t>
  </si>
  <si>
    <t>38.7087894</t>
  </si>
  <si>
    <t>-9.1487913</t>
  </si>
  <si>
    <t>38.7111384</t>
  </si>
  <si>
    <t>-9.1459204</t>
  </si>
  <si>
    <t>38.7148182</t>
  </si>
  <si>
    <t>-9.140941</t>
  </si>
  <si>
    <t>38.7155098</t>
  </si>
  <si>
    <t>-9.1412256</t>
  </si>
  <si>
    <t>38.719214</t>
  </si>
  <si>
    <t>-9.1487906</t>
  </si>
  <si>
    <t>38.7233071</t>
  </si>
  <si>
    <t>-9.1511912</t>
  </si>
  <si>
    <t>38.734854</t>
  </si>
  <si>
    <t>-9.1790837</t>
  </si>
  <si>
    <t>38.7456788</t>
  </si>
  <si>
    <t>-9.1476093</t>
  </si>
  <si>
    <t>38.7278434</t>
  </si>
  <si>
    <t>-9.1891716</t>
  </si>
  <si>
    <t>38.7576729</t>
  </si>
  <si>
    <t>-9.1092031</t>
  </si>
  <si>
    <t>38.7675126</t>
  </si>
  <si>
    <t>38.7621002</t>
  </si>
  <si>
    <t>-9.1244256</t>
  </si>
  <si>
    <t>38.7278232</t>
  </si>
  <si>
    <t>-9.1347351</t>
  </si>
  <si>
    <t>38.7365889</t>
  </si>
  <si>
    <t>-9.133834</t>
  </si>
  <si>
    <t>38.7095414</t>
  </si>
  <si>
    <t>-9.1497569</t>
  </si>
  <si>
    <t>38.7098603</t>
  </si>
  <si>
    <t>-9.1482613</t>
  </si>
  <si>
    <t>38.7036251</t>
  </si>
  <si>
    <t>-9.1678404</t>
  </si>
  <si>
    <t>38.7041237</t>
  </si>
  <si>
    <t>-9.1609235</t>
  </si>
  <si>
    <t>38.7063838</t>
  </si>
  <si>
    <t>-9.1515526</t>
  </si>
  <si>
    <t>38.7369971</t>
  </si>
  <si>
    <t>-9.1901875</t>
  </si>
  <si>
    <t>38.7119099</t>
  </si>
  <si>
    <t>-9.2210069</t>
  </si>
  <si>
    <t>38.7040146</t>
  </si>
  <si>
    <t>-9.224963</t>
  </si>
  <si>
    <t>38.7743834</t>
  </si>
  <si>
    <t>-9.0950229</t>
  </si>
  <si>
    <t>-9.0959367</t>
  </si>
  <si>
    <t>38.7759351</t>
  </si>
  <si>
    <t>-9.0950111</t>
  </si>
  <si>
    <t>38.7384112</t>
  </si>
  <si>
    <t>-9.1053149</t>
  </si>
  <si>
    <t>38.7407406</t>
  </si>
  <si>
    <t>-9.1026685</t>
  </si>
  <si>
    <t>38.7322759</t>
  </si>
  <si>
    <t>-9.1062791</t>
  </si>
  <si>
    <t>38.7314878</t>
  </si>
  <si>
    <t>-9.1099077</t>
  </si>
  <si>
    <t>38.7254925</t>
  </si>
  <si>
    <t>-9.1129857</t>
  </si>
  <si>
    <t>38.711569</t>
  </si>
  <si>
    <t>-9.1270784</t>
  </si>
  <si>
    <t>38.7113037</t>
  </si>
  <si>
    <t>-9.127432</t>
  </si>
  <si>
    <t>38.7088393</t>
  </si>
  <si>
    <t>-9.1302559</t>
  </si>
  <si>
    <t>38.7074052</t>
  </si>
  <si>
    <t>-9.1339226</t>
  </si>
  <si>
    <t>38.7578718</t>
  </si>
  <si>
    <t>-9.0963819</t>
  </si>
  <si>
    <t>38.7621486</t>
  </si>
  <si>
    <t>-9.0960246</t>
  </si>
  <si>
    <t>38.7592498</t>
  </si>
  <si>
    <t>-9.1116086</t>
  </si>
  <si>
    <t>38.759694</t>
  </si>
  <si>
    <t>-9.1158574</t>
  </si>
  <si>
    <t>38.7124025</t>
  </si>
  <si>
    <t>-9.218556</t>
  </si>
  <si>
    <t>38.7126038</t>
  </si>
  <si>
    <t>-9.2191002</t>
  </si>
  <si>
    <t>38.7358662</t>
  </si>
  <si>
    <t>-9.1801893</t>
  </si>
  <si>
    <t>Major</t>
  </si>
  <si>
    <t>id</t>
  </si>
  <si>
    <t>Type of road</t>
  </si>
  <si>
    <t>Pavement defects</t>
  </si>
  <si>
    <t>Cycle path</t>
  </si>
  <si>
    <t>No defects</t>
  </si>
  <si>
    <t>No cycle path</t>
  </si>
  <si>
    <t>Riding surface</t>
  </si>
  <si>
    <t>smooth pavement</t>
  </si>
  <si>
    <t>rough pavement</t>
  </si>
  <si>
    <t>coarse sand</t>
  </si>
  <si>
    <t>Bicycle Facility Type</t>
  </si>
  <si>
    <t>Paper variable</t>
  </si>
  <si>
    <t xml:space="preserve">pipeline corresponding </t>
  </si>
  <si>
    <t>unpaved</t>
  </si>
  <si>
    <t>paper score</t>
  </si>
  <si>
    <t>Separate path</t>
  </si>
  <si>
    <t>asphalt without defects</t>
  </si>
  <si>
    <t>asphalt with defects or cobblestone</t>
  </si>
  <si>
    <t>Roadway Class</t>
  </si>
  <si>
    <t>Major arterial</t>
  </si>
  <si>
    <t>Major street</t>
  </si>
  <si>
    <t>With bicycle infrastructure</t>
  </si>
  <si>
    <t>Local street</t>
  </si>
  <si>
    <t>Residential</t>
  </si>
  <si>
    <t>No bicycle infrastructure</t>
  </si>
  <si>
    <t>Distance</t>
  </si>
  <si>
    <t>proportion 0 10 scale</t>
  </si>
  <si>
    <t>Individual score</t>
  </si>
  <si>
    <t>Presence value</t>
  </si>
  <si>
    <t>Soma</t>
  </si>
  <si>
    <t>RouteID</t>
  </si>
  <si>
    <t>ImagemUrl</t>
  </si>
  <si>
    <t>segment1.jpg</t>
  </si>
  <si>
    <t>segment2.jpg</t>
  </si>
  <si>
    <t>segment3.jpg</t>
  </si>
  <si>
    <t>segment4.jpg</t>
  </si>
  <si>
    <t>segment5.jpg</t>
  </si>
  <si>
    <t>segment6.jpg</t>
  </si>
  <si>
    <t>segment7.jpg</t>
  </si>
  <si>
    <t>segment8.jpg</t>
  </si>
  <si>
    <t>segment9.jpg</t>
  </si>
  <si>
    <t>segment10.jpg</t>
  </si>
  <si>
    <t>segment11.jpg</t>
  </si>
  <si>
    <t>segment12.jpg</t>
  </si>
  <si>
    <t>segment13.jpg</t>
  </si>
  <si>
    <t>segment14.jpg</t>
  </si>
  <si>
    <t>segment15.jpg</t>
  </si>
  <si>
    <t>segment16.jpg</t>
  </si>
  <si>
    <t>segment17.jpg</t>
  </si>
  <si>
    <t>segment18.jpg</t>
  </si>
  <si>
    <t>segment19.jpg</t>
  </si>
  <si>
    <t>segment20.jpg</t>
  </si>
  <si>
    <t>segment21.jpg</t>
  </si>
  <si>
    <t>segment22.jpg</t>
  </si>
  <si>
    <t>segment23.jpg</t>
  </si>
  <si>
    <t>segment24.jpg</t>
  </si>
  <si>
    <t>segment25.jpg</t>
  </si>
  <si>
    <t>segment26.jpg</t>
  </si>
  <si>
    <t>segment27.jpg</t>
  </si>
  <si>
    <t>segment28.jpg</t>
  </si>
  <si>
    <t>segment29.jpg</t>
  </si>
  <si>
    <t>segment30.jpg</t>
  </si>
  <si>
    <t>segment31.jpg</t>
  </si>
  <si>
    <t>segment32.jpg</t>
  </si>
  <si>
    <t>segment33.jpg</t>
  </si>
  <si>
    <t>segment34.jpg</t>
  </si>
  <si>
    <t>segment35.jpg</t>
  </si>
  <si>
    <t>segment36.jpg</t>
  </si>
  <si>
    <t>segment37.jpg</t>
  </si>
  <si>
    <t>segment38.jpg</t>
  </si>
  <si>
    <t>segment39.jpg</t>
  </si>
  <si>
    <t>segment40.jpg</t>
  </si>
  <si>
    <t>segment41.jpg</t>
  </si>
  <si>
    <t>segment43.jpg</t>
  </si>
  <si>
    <t>segment44.jpg</t>
  </si>
  <si>
    <t>segment45.jpg</t>
  </si>
  <si>
    <t>segment46.jpg</t>
  </si>
  <si>
    <t>segment47.jpg</t>
  </si>
  <si>
    <t>segment48.jpg</t>
  </si>
  <si>
    <t>segment49.jpg</t>
  </si>
  <si>
    <t>A.A. Cyclist Infrastructure</t>
  </si>
  <si>
    <t>A.A. Defects</t>
  </si>
  <si>
    <t>A.A. Pavement Type</t>
  </si>
  <si>
    <t>A.A. Major Street</t>
  </si>
  <si>
    <t>RouteID(Database)</t>
  </si>
  <si>
    <t>asphalt</t>
  </si>
  <si>
    <t>cobblestone</t>
  </si>
  <si>
    <t>Error</t>
  </si>
  <si>
    <t>last exp</t>
  </si>
  <si>
    <t>Actual</t>
  </si>
  <si>
    <t>Last correct?</t>
  </si>
  <si>
    <t>Cyclist perception</t>
  </si>
  <si>
    <t>Ground truth&amp;Cylists perception&amp;Model classification</t>
  </si>
  <si>
    <t>pavement type</t>
  </si>
  <si>
    <t>DRAW</t>
  </si>
  <si>
    <t>Old A.A. Score</t>
  </si>
  <si>
    <t>Old Error</t>
  </si>
  <si>
    <t>Automatic Score</t>
  </si>
  <si>
    <t>LOCAL</t>
  </si>
  <si>
    <t>MAJOR</t>
  </si>
  <si>
    <t>Column1</t>
  </si>
  <si>
    <t>Column2</t>
  </si>
  <si>
    <t>Threshold</t>
  </si>
  <si>
    <t>Median</t>
  </si>
  <si>
    <t>Ground truth</t>
  </si>
  <si>
    <t>Predicted</t>
  </si>
  <si>
    <t>Cyclist</t>
  </si>
  <si>
    <t>Cyclists perception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</si>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</sst>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93537076774449E-2"/>
          <c:y val="2.4202424434989465E-2"/>
          <c:w val="0.96321197702749151"/>
          <c:h val="0.82777021175302301"/>
        </c:manualLayout>
      </c:layout>
      <c:barChart>
        <c:barDir val="col"/>
        <c:grouping val="clustered"/>
        <c:varyColors val="0"/>
        <c:ser>
          <c:idx val="13"/>
          <c:order val="13"/>
          <c:tx>
            <c:strRef>
              <c:f>'Perceptions database'!$O$1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'Perceptions database'!$A$2:$A$49</c:f>
              <c:numCache>
                <c:formatCode>General</c:formatCode>
                <c:ptCount val="48"/>
                <c:pt idx="0">
                  <c:v>24</c:v>
                </c:pt>
                <c:pt idx="1">
                  <c:v>35</c:v>
                </c:pt>
                <c:pt idx="2">
                  <c:v>10</c:v>
                </c:pt>
                <c:pt idx="3">
                  <c:v>44</c:v>
                </c:pt>
                <c:pt idx="4">
                  <c:v>20</c:v>
                </c:pt>
                <c:pt idx="5">
                  <c:v>36</c:v>
                </c:pt>
                <c:pt idx="6">
                  <c:v>33</c:v>
                </c:pt>
                <c:pt idx="7">
                  <c:v>25</c:v>
                </c:pt>
                <c:pt idx="8">
                  <c:v>1</c:v>
                </c:pt>
                <c:pt idx="9">
                  <c:v>42</c:v>
                </c:pt>
                <c:pt idx="10">
                  <c:v>17</c:v>
                </c:pt>
                <c:pt idx="11">
                  <c:v>4</c:v>
                </c:pt>
                <c:pt idx="12">
                  <c:v>23</c:v>
                </c:pt>
                <c:pt idx="13">
                  <c:v>15</c:v>
                </c:pt>
                <c:pt idx="14">
                  <c:v>43</c:v>
                </c:pt>
                <c:pt idx="15">
                  <c:v>6</c:v>
                </c:pt>
                <c:pt idx="16">
                  <c:v>21</c:v>
                </c:pt>
                <c:pt idx="17">
                  <c:v>19</c:v>
                </c:pt>
                <c:pt idx="18">
                  <c:v>34</c:v>
                </c:pt>
                <c:pt idx="19">
                  <c:v>26</c:v>
                </c:pt>
                <c:pt idx="20">
                  <c:v>2</c:v>
                </c:pt>
                <c:pt idx="21">
                  <c:v>31</c:v>
                </c:pt>
                <c:pt idx="22">
                  <c:v>18</c:v>
                </c:pt>
                <c:pt idx="23">
                  <c:v>45</c:v>
                </c:pt>
                <c:pt idx="24">
                  <c:v>8</c:v>
                </c:pt>
                <c:pt idx="25">
                  <c:v>5</c:v>
                </c:pt>
                <c:pt idx="26">
                  <c:v>40</c:v>
                </c:pt>
                <c:pt idx="27">
                  <c:v>27</c:v>
                </c:pt>
                <c:pt idx="28">
                  <c:v>29</c:v>
                </c:pt>
                <c:pt idx="29">
                  <c:v>12</c:v>
                </c:pt>
                <c:pt idx="30">
                  <c:v>39</c:v>
                </c:pt>
                <c:pt idx="31">
                  <c:v>7</c:v>
                </c:pt>
                <c:pt idx="32">
                  <c:v>11</c:v>
                </c:pt>
                <c:pt idx="33">
                  <c:v>47</c:v>
                </c:pt>
                <c:pt idx="34">
                  <c:v>37</c:v>
                </c:pt>
                <c:pt idx="35">
                  <c:v>38</c:v>
                </c:pt>
                <c:pt idx="36">
                  <c:v>14</c:v>
                </c:pt>
                <c:pt idx="37">
                  <c:v>41</c:v>
                </c:pt>
                <c:pt idx="38">
                  <c:v>48</c:v>
                </c:pt>
                <c:pt idx="39">
                  <c:v>46</c:v>
                </c:pt>
                <c:pt idx="40">
                  <c:v>13</c:v>
                </c:pt>
                <c:pt idx="41">
                  <c:v>32</c:v>
                </c:pt>
                <c:pt idx="42">
                  <c:v>28</c:v>
                </c:pt>
                <c:pt idx="43">
                  <c:v>22</c:v>
                </c:pt>
                <c:pt idx="44">
                  <c:v>16</c:v>
                </c:pt>
                <c:pt idx="45">
                  <c:v>3</c:v>
                </c:pt>
                <c:pt idx="46">
                  <c:v>30</c:v>
                </c:pt>
                <c:pt idx="47">
                  <c:v>9</c:v>
                </c:pt>
              </c:numCache>
            </c:numRef>
          </c:cat>
          <c:val>
            <c:numRef>
              <c:f>'Perceptions database'!$O$2:$O$49</c:f>
              <c:numCache>
                <c:formatCode>General</c:formatCode>
                <c:ptCount val="48"/>
                <c:pt idx="0">
                  <c:v>9.9999999999997868E-3</c:v>
                </c:pt>
                <c:pt idx="1">
                  <c:v>0.16000000000000014</c:v>
                </c:pt>
                <c:pt idx="2">
                  <c:v>0.25</c:v>
                </c:pt>
                <c:pt idx="3">
                  <c:v>0.45000000000000018</c:v>
                </c:pt>
                <c:pt idx="4">
                  <c:v>0.50999999999999979</c:v>
                </c:pt>
                <c:pt idx="5">
                  <c:v>0.53000000000000025</c:v>
                </c:pt>
                <c:pt idx="6">
                  <c:v>0.66000000000000014</c:v>
                </c:pt>
                <c:pt idx="7">
                  <c:v>0.79</c:v>
                </c:pt>
                <c:pt idx="8">
                  <c:v>0.80000000000000071</c:v>
                </c:pt>
                <c:pt idx="9">
                  <c:v>0.84999999999999964</c:v>
                </c:pt>
                <c:pt idx="10">
                  <c:v>0.95000000000000018</c:v>
                </c:pt>
                <c:pt idx="11">
                  <c:v>1.0499999999999998</c:v>
                </c:pt>
                <c:pt idx="12">
                  <c:v>1.0700000000000003</c:v>
                </c:pt>
                <c:pt idx="13">
                  <c:v>1.1000000000000001</c:v>
                </c:pt>
                <c:pt idx="14">
                  <c:v>1.25</c:v>
                </c:pt>
                <c:pt idx="15">
                  <c:v>1.2700000000000005</c:v>
                </c:pt>
                <c:pt idx="16">
                  <c:v>1.33</c:v>
                </c:pt>
                <c:pt idx="17">
                  <c:v>1.3399999999999999</c:v>
                </c:pt>
                <c:pt idx="18">
                  <c:v>1.3800000000000003</c:v>
                </c:pt>
                <c:pt idx="19">
                  <c:v>1.4700000000000002</c:v>
                </c:pt>
                <c:pt idx="20">
                  <c:v>1.4900000000000002</c:v>
                </c:pt>
                <c:pt idx="21">
                  <c:v>1.5199999999999996</c:v>
                </c:pt>
                <c:pt idx="22">
                  <c:v>1.6500000000000004</c:v>
                </c:pt>
                <c:pt idx="23">
                  <c:v>1.6500000000000004</c:v>
                </c:pt>
                <c:pt idx="24">
                  <c:v>1.7199999999999998</c:v>
                </c:pt>
                <c:pt idx="25">
                  <c:v>1.7400000000000002</c:v>
                </c:pt>
                <c:pt idx="26">
                  <c:v>1.7900000000000009</c:v>
                </c:pt>
                <c:pt idx="27">
                  <c:v>1.83</c:v>
                </c:pt>
                <c:pt idx="28">
                  <c:v>1.85</c:v>
                </c:pt>
                <c:pt idx="29">
                  <c:v>1.88</c:v>
                </c:pt>
                <c:pt idx="30">
                  <c:v>1.9400000000000004</c:v>
                </c:pt>
                <c:pt idx="31">
                  <c:v>1.9900000000000002</c:v>
                </c:pt>
                <c:pt idx="32">
                  <c:v>2.04</c:v>
                </c:pt>
                <c:pt idx="33">
                  <c:v>2.1</c:v>
                </c:pt>
                <c:pt idx="34">
                  <c:v>2.1400000000000006</c:v>
                </c:pt>
                <c:pt idx="35">
                  <c:v>2.1900000000000004</c:v>
                </c:pt>
                <c:pt idx="36">
                  <c:v>2.2000000000000002</c:v>
                </c:pt>
                <c:pt idx="37">
                  <c:v>2.41</c:v>
                </c:pt>
                <c:pt idx="38">
                  <c:v>2.77</c:v>
                </c:pt>
                <c:pt idx="39">
                  <c:v>2.85</c:v>
                </c:pt>
                <c:pt idx="40">
                  <c:v>3.35</c:v>
                </c:pt>
                <c:pt idx="41">
                  <c:v>3.6399999999999997</c:v>
                </c:pt>
                <c:pt idx="42">
                  <c:v>3.8300000000000005</c:v>
                </c:pt>
                <c:pt idx="43">
                  <c:v>4</c:v>
                </c:pt>
                <c:pt idx="44">
                  <c:v>4.18</c:v>
                </c:pt>
                <c:pt idx="45">
                  <c:v>4.4800000000000004</c:v>
                </c:pt>
                <c:pt idx="46">
                  <c:v>5.62</c:v>
                </c:pt>
                <c:pt idx="47">
                  <c:v>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A-4975-9094-4BCE504C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3077007"/>
        <c:axId val="1703067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'Perceptions database'!$B$1</c15:sqref>
                        </c15:formulaRef>
                      </c:ext>
                    </c:extLst>
                    <c:strCache>
                      <c:ptCount val="1"/>
                      <c:pt idx="0">
                        <c:v>RouteID(Database)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'Perceptions database'!$B$2:$B$49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28</c:v>
                      </c:pt>
                      <c:pt idx="1">
                        <c:v>39</c:v>
                      </c:pt>
                      <c:pt idx="2">
                        <c:v>14</c:v>
                      </c:pt>
                      <c:pt idx="3">
                        <c:v>48</c:v>
                      </c:pt>
                      <c:pt idx="4">
                        <c:v>24</c:v>
                      </c:pt>
                      <c:pt idx="5">
                        <c:v>40</c:v>
                      </c:pt>
                      <c:pt idx="6">
                        <c:v>37</c:v>
                      </c:pt>
                      <c:pt idx="7">
                        <c:v>29</c:v>
                      </c:pt>
                      <c:pt idx="8">
                        <c:v>5</c:v>
                      </c:pt>
                      <c:pt idx="9">
                        <c:v>46</c:v>
                      </c:pt>
                      <c:pt idx="10">
                        <c:v>21</c:v>
                      </c:pt>
                      <c:pt idx="11">
                        <c:v>8</c:v>
                      </c:pt>
                      <c:pt idx="12">
                        <c:v>27</c:v>
                      </c:pt>
                      <c:pt idx="13">
                        <c:v>19</c:v>
                      </c:pt>
                      <c:pt idx="14">
                        <c:v>47</c:v>
                      </c:pt>
                      <c:pt idx="15">
                        <c:v>10</c:v>
                      </c:pt>
                      <c:pt idx="16">
                        <c:v>25</c:v>
                      </c:pt>
                      <c:pt idx="17">
                        <c:v>23</c:v>
                      </c:pt>
                      <c:pt idx="18">
                        <c:v>38</c:v>
                      </c:pt>
                      <c:pt idx="19">
                        <c:v>30</c:v>
                      </c:pt>
                      <c:pt idx="20">
                        <c:v>6</c:v>
                      </c:pt>
                      <c:pt idx="21">
                        <c:v>35</c:v>
                      </c:pt>
                      <c:pt idx="22">
                        <c:v>22</c:v>
                      </c:pt>
                      <c:pt idx="23">
                        <c:v>49</c:v>
                      </c:pt>
                      <c:pt idx="24">
                        <c:v>12</c:v>
                      </c:pt>
                      <c:pt idx="25">
                        <c:v>9</c:v>
                      </c:pt>
                      <c:pt idx="26">
                        <c:v>44</c:v>
                      </c:pt>
                      <c:pt idx="27">
                        <c:v>31</c:v>
                      </c:pt>
                      <c:pt idx="28">
                        <c:v>33</c:v>
                      </c:pt>
                      <c:pt idx="29">
                        <c:v>16</c:v>
                      </c:pt>
                      <c:pt idx="30">
                        <c:v>43</c:v>
                      </c:pt>
                      <c:pt idx="31">
                        <c:v>11</c:v>
                      </c:pt>
                      <c:pt idx="32">
                        <c:v>15</c:v>
                      </c:pt>
                      <c:pt idx="33">
                        <c:v>51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18</c:v>
                      </c:pt>
                      <c:pt idx="37">
                        <c:v>45</c:v>
                      </c:pt>
                      <c:pt idx="38">
                        <c:v>52</c:v>
                      </c:pt>
                      <c:pt idx="39">
                        <c:v>50</c:v>
                      </c:pt>
                      <c:pt idx="40">
                        <c:v>17</c:v>
                      </c:pt>
                      <c:pt idx="41">
                        <c:v>36</c:v>
                      </c:pt>
                      <c:pt idx="42">
                        <c:v>32</c:v>
                      </c:pt>
                      <c:pt idx="43">
                        <c:v>26</c:v>
                      </c:pt>
                      <c:pt idx="44">
                        <c:v>20</c:v>
                      </c:pt>
                      <c:pt idx="45">
                        <c:v>7</c:v>
                      </c:pt>
                      <c:pt idx="46">
                        <c:v>34</c:v>
                      </c:pt>
                      <c:pt idx="47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7E-4ED2-A4CE-5FD1CD69913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database'!$C$1</c15:sqref>
                        </c15:formulaRef>
                      </c:ext>
                    </c:extLst>
                    <c:strCache>
                      <c:ptCount val="1"/>
                      <c:pt idx="0">
                        <c:v>ImagemUrl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database'!$C$2:$C$49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7E-4ED2-A4CE-5FD1CD69913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database'!$D$1</c15:sqref>
                        </c15:formulaRef>
                      </c:ext>
                    </c:extLst>
                    <c:strCache>
                      <c:ptCount val="1"/>
                      <c:pt idx="0">
                        <c:v>Lat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database'!$D$2:$D$49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38.709860300000003</c:v>
                      </c:pt>
                      <c:pt idx="1">
                        <c:v>38.732275899999998</c:v>
                      </c:pt>
                      <c:pt idx="2">
                        <c:v>38.711138400000003</c:v>
                      </c:pt>
                      <c:pt idx="3">
                        <c:v>38.759249799999999</c:v>
                      </c:pt>
                      <c:pt idx="4">
                        <c:v>38.762100199999999</c:v>
                      </c:pt>
                      <c:pt idx="5">
                        <c:v>38.731487799999996</c:v>
                      </c:pt>
                      <c:pt idx="6">
                        <c:v>38.738411200000002</c:v>
                      </c:pt>
                      <c:pt idx="7">
                        <c:v>38.703625099999996</c:v>
                      </c:pt>
                      <c:pt idx="8">
                        <c:v>38.7319946</c:v>
                      </c:pt>
                      <c:pt idx="9">
                        <c:v>38.757871799999997</c:v>
                      </c:pt>
                      <c:pt idx="10">
                        <c:v>38.727843399999998</c:v>
                      </c:pt>
                      <c:pt idx="11">
                        <c:v>38.7384427</c:v>
                      </c:pt>
                      <c:pt idx="12">
                        <c:v>38.709541399999999</c:v>
                      </c:pt>
                      <c:pt idx="13">
                        <c:v>38.734853999999999</c:v>
                      </c:pt>
                      <c:pt idx="14">
                        <c:v>38.762148600000003</c:v>
                      </c:pt>
                      <c:pt idx="15">
                        <c:v>38.7442663</c:v>
                      </c:pt>
                      <c:pt idx="16">
                        <c:v>38.727823200000003</c:v>
                      </c:pt>
                      <c:pt idx="17">
                        <c:v>38.767512600000003</c:v>
                      </c:pt>
                      <c:pt idx="18">
                        <c:v>38.740740600000002</c:v>
                      </c:pt>
                      <c:pt idx="19">
                        <c:v>38.704123699999997</c:v>
                      </c:pt>
                      <c:pt idx="20">
                        <c:v>38.7380341</c:v>
                      </c:pt>
                      <c:pt idx="21">
                        <c:v>38.774383399999998</c:v>
                      </c:pt>
                      <c:pt idx="22">
                        <c:v>38.757672900000003</c:v>
                      </c:pt>
                      <c:pt idx="23">
                        <c:v>38.759694000000003</c:v>
                      </c:pt>
                      <c:pt idx="24">
                        <c:v>38.706550700000001</c:v>
                      </c:pt>
                      <c:pt idx="25">
                        <c:v>38.7386999</c:v>
                      </c:pt>
                      <c:pt idx="26">
                        <c:v>38.708839300000001</c:v>
                      </c:pt>
                      <c:pt idx="27">
                        <c:v>38.706383799999998</c:v>
                      </c:pt>
                      <c:pt idx="28">
                        <c:v>38.711909900000002</c:v>
                      </c:pt>
                      <c:pt idx="29">
                        <c:v>38.7155098</c:v>
                      </c:pt>
                      <c:pt idx="30">
                        <c:v>38.711303700000002</c:v>
                      </c:pt>
                      <c:pt idx="31">
                        <c:v>38.706513600000001</c:v>
                      </c:pt>
                      <c:pt idx="32">
                        <c:v>38.714818200000003</c:v>
                      </c:pt>
                      <c:pt idx="33">
                        <c:v>38.712603799999997</c:v>
                      </c:pt>
                      <c:pt idx="34">
                        <c:v>38.725492500000001</c:v>
                      </c:pt>
                      <c:pt idx="35">
                        <c:v>38.711568999999997</c:v>
                      </c:pt>
                      <c:pt idx="36">
                        <c:v>38.7233071</c:v>
                      </c:pt>
                      <c:pt idx="37">
                        <c:v>38.707405199999997</c:v>
                      </c:pt>
                      <c:pt idx="38">
                        <c:v>38.735866199999997</c:v>
                      </c:pt>
                      <c:pt idx="39">
                        <c:v>38.712402500000003</c:v>
                      </c:pt>
                      <c:pt idx="40">
                        <c:v>38.719214000000001</c:v>
                      </c:pt>
                      <c:pt idx="41">
                        <c:v>38.775935099999998</c:v>
                      </c:pt>
                      <c:pt idx="42">
                        <c:v>38.736997100000004</c:v>
                      </c:pt>
                      <c:pt idx="43">
                        <c:v>38.736588900000001</c:v>
                      </c:pt>
                      <c:pt idx="44">
                        <c:v>38.7456788</c:v>
                      </c:pt>
                      <c:pt idx="45">
                        <c:v>38.736943799999999</c:v>
                      </c:pt>
                      <c:pt idx="46">
                        <c:v>38.704014600000001</c:v>
                      </c:pt>
                      <c:pt idx="47">
                        <c:v>38.708789400000001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7E-4ED2-A4CE-5FD1CD69913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database'!$E$1</c15:sqref>
                        </c15:formulaRef>
                      </c:ext>
                    </c:extLst>
                    <c:strCache>
                      <c:ptCount val="1"/>
                      <c:pt idx="0">
                        <c:v>Lon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-9.1482612999999997</c:v>
                      </c:pt>
                      <c:pt idx="1">
                        <c:v>-9.1062791000000001</c:v>
                      </c:pt>
                      <c:pt idx="2">
                        <c:v>-9.1459203999999996</c:v>
                      </c:pt>
                      <c:pt idx="3">
                        <c:v>-9.1116086000000003</c:v>
                      </c:pt>
                      <c:pt idx="4">
                        <c:v>-9.1244256000000004</c:v>
                      </c:pt>
                      <c:pt idx="5">
                        <c:v>-9.1099077000000008</c:v>
                      </c:pt>
                      <c:pt idx="6">
                        <c:v>-9.1053148999999998</c:v>
                      </c:pt>
                      <c:pt idx="7">
                        <c:v>-9.1678403999999993</c:v>
                      </c:pt>
                      <c:pt idx="8">
                        <c:v>-9.1049083</c:v>
                      </c:pt>
                      <c:pt idx="9">
                        <c:v>-9.0963819000000008</c:v>
                      </c:pt>
                      <c:pt idx="10">
                        <c:v>-9.1891715999999999</c:v>
                      </c:pt>
                      <c:pt idx="11">
                        <c:v>-9.1255362000000009</c:v>
                      </c:pt>
                      <c:pt idx="12">
                        <c:v>-9.1497568999999999</c:v>
                      </c:pt>
                      <c:pt idx="13">
                        <c:v>-9.1790836999999996</c:v>
                      </c:pt>
                      <c:pt idx="14">
                        <c:v>-9.0960245999999998</c:v>
                      </c:pt>
                      <c:pt idx="15">
                        <c:v>-9.1375878999999998</c:v>
                      </c:pt>
                      <c:pt idx="16">
                        <c:v>-9.1347351000000003</c:v>
                      </c:pt>
                      <c:pt idx="17">
                        <c:v>-9.0959366999999993</c:v>
                      </c:pt>
                      <c:pt idx="18">
                        <c:v>-9.1026685000000001</c:v>
                      </c:pt>
                      <c:pt idx="19">
                        <c:v>-9.1609235000000009</c:v>
                      </c:pt>
                      <c:pt idx="20">
                        <c:v>-9.1255956000000005</c:v>
                      </c:pt>
                      <c:pt idx="21">
                        <c:v>-9.0950229</c:v>
                      </c:pt>
                      <c:pt idx="22">
                        <c:v>-9.1092031000000002</c:v>
                      </c:pt>
                      <c:pt idx="23">
                        <c:v>-9.1158573999999994</c:v>
                      </c:pt>
                      <c:pt idx="24">
                        <c:v>-9.1487473000000001</c:v>
                      </c:pt>
                      <c:pt idx="25">
                        <c:v>-9.1336203000000005</c:v>
                      </c:pt>
                      <c:pt idx="26">
                        <c:v>-9.1302558999999999</c:v>
                      </c:pt>
                      <c:pt idx="27">
                        <c:v>-9.1515526000000005</c:v>
                      </c:pt>
                      <c:pt idx="28">
                        <c:v>-9.2210069000000008</c:v>
                      </c:pt>
                      <c:pt idx="29">
                        <c:v>-9.1412256000000003</c:v>
                      </c:pt>
                      <c:pt idx="30">
                        <c:v>-9.1274320000000007</c:v>
                      </c:pt>
                      <c:pt idx="31">
                        <c:v>-9.1376293000000004</c:v>
                      </c:pt>
                      <c:pt idx="32">
                        <c:v>-9.1409409999999998</c:v>
                      </c:pt>
                      <c:pt idx="33">
                        <c:v>-9.2191001999999997</c:v>
                      </c:pt>
                      <c:pt idx="34">
                        <c:v>-9.1129856999999994</c:v>
                      </c:pt>
                      <c:pt idx="35">
                        <c:v>-9.1270784000000003</c:v>
                      </c:pt>
                      <c:pt idx="36">
                        <c:v>-9.1511911999999995</c:v>
                      </c:pt>
                      <c:pt idx="37">
                        <c:v>-9.1339226</c:v>
                      </c:pt>
                      <c:pt idx="38">
                        <c:v>-9.1801893000000003</c:v>
                      </c:pt>
                      <c:pt idx="39">
                        <c:v>-9.2185559999999995</c:v>
                      </c:pt>
                      <c:pt idx="40">
                        <c:v>-9.1487905999999999</c:v>
                      </c:pt>
                      <c:pt idx="41">
                        <c:v>-9.0950111000000007</c:v>
                      </c:pt>
                      <c:pt idx="42">
                        <c:v>-9.1901875000000004</c:v>
                      </c:pt>
                      <c:pt idx="43">
                        <c:v>-9.1338340000000002</c:v>
                      </c:pt>
                      <c:pt idx="44">
                        <c:v>-9.1476092999999992</c:v>
                      </c:pt>
                      <c:pt idx="45">
                        <c:v>-9.1900867000000002</c:v>
                      </c:pt>
                      <c:pt idx="46">
                        <c:v>-9.2249630000000007</c:v>
                      </c:pt>
                      <c:pt idx="47">
                        <c:v>-9.1487912999999992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7E-4ED2-A4CE-5FD1CD69913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database'!$F$1</c15:sqref>
                        </c15:formulaRef>
                      </c:ext>
                    </c:extLst>
                    <c:strCache>
                      <c:ptCount val="1"/>
                      <c:pt idx="0">
                        <c:v>Cyclist perception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database'!$F$2:$F$49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5.17</c:v>
                      </c:pt>
                      <c:pt idx="1">
                        <c:v>5</c:v>
                      </c:pt>
                      <c:pt idx="2">
                        <c:v>4.91</c:v>
                      </c:pt>
                      <c:pt idx="3">
                        <c:v>6.8</c:v>
                      </c:pt>
                      <c:pt idx="4">
                        <c:v>2.5</c:v>
                      </c:pt>
                      <c:pt idx="5">
                        <c:v>4.63</c:v>
                      </c:pt>
                      <c:pt idx="6">
                        <c:v>4.5</c:v>
                      </c:pt>
                      <c:pt idx="7">
                        <c:v>5.56</c:v>
                      </c:pt>
                      <c:pt idx="8">
                        <c:v>7.15</c:v>
                      </c:pt>
                      <c:pt idx="9">
                        <c:v>8.4</c:v>
                      </c:pt>
                      <c:pt idx="10">
                        <c:v>6.11</c:v>
                      </c:pt>
                      <c:pt idx="11">
                        <c:v>4.8600000000000003</c:v>
                      </c:pt>
                      <c:pt idx="12">
                        <c:v>4.09</c:v>
                      </c:pt>
                      <c:pt idx="13">
                        <c:v>4</c:v>
                      </c:pt>
                      <c:pt idx="14">
                        <c:v>8</c:v>
                      </c:pt>
                      <c:pt idx="15">
                        <c:v>4.6399999999999997</c:v>
                      </c:pt>
                      <c:pt idx="16">
                        <c:v>5.77</c:v>
                      </c:pt>
                      <c:pt idx="17">
                        <c:v>7.91</c:v>
                      </c:pt>
                      <c:pt idx="18">
                        <c:v>3.78</c:v>
                      </c:pt>
                      <c:pt idx="19">
                        <c:v>3.73</c:v>
                      </c:pt>
                      <c:pt idx="20">
                        <c:v>3.67</c:v>
                      </c:pt>
                      <c:pt idx="21">
                        <c:v>7.73</c:v>
                      </c:pt>
                      <c:pt idx="22">
                        <c:v>8.75</c:v>
                      </c:pt>
                      <c:pt idx="23">
                        <c:v>8</c:v>
                      </c:pt>
                      <c:pt idx="24">
                        <c:v>5.38</c:v>
                      </c:pt>
                      <c:pt idx="25">
                        <c:v>4.75</c:v>
                      </c:pt>
                      <c:pt idx="26">
                        <c:v>8.14</c:v>
                      </c:pt>
                      <c:pt idx="27">
                        <c:v>4.09</c:v>
                      </c:pt>
                      <c:pt idx="28">
                        <c:v>4.75</c:v>
                      </c:pt>
                      <c:pt idx="29">
                        <c:v>4.1399999999999997</c:v>
                      </c:pt>
                      <c:pt idx="30">
                        <c:v>4.2</c:v>
                      </c:pt>
                      <c:pt idx="31">
                        <c:v>4.25</c:v>
                      </c:pt>
                      <c:pt idx="32">
                        <c:v>4.3</c:v>
                      </c:pt>
                      <c:pt idx="33">
                        <c:v>5</c:v>
                      </c:pt>
                      <c:pt idx="34">
                        <c:v>4.4000000000000004</c:v>
                      </c:pt>
                      <c:pt idx="35">
                        <c:v>5.2</c:v>
                      </c:pt>
                      <c:pt idx="36">
                        <c:v>3.71</c:v>
                      </c:pt>
                      <c:pt idx="37">
                        <c:v>4.67</c:v>
                      </c:pt>
                      <c:pt idx="38">
                        <c:v>5.67</c:v>
                      </c:pt>
                      <c:pt idx="39">
                        <c:v>5.75</c:v>
                      </c:pt>
                      <c:pt idx="40">
                        <c:v>6.25</c:v>
                      </c:pt>
                      <c:pt idx="41">
                        <c:v>6.36</c:v>
                      </c:pt>
                      <c:pt idx="42">
                        <c:v>6.73</c:v>
                      </c:pt>
                      <c:pt idx="43">
                        <c:v>6</c:v>
                      </c:pt>
                      <c:pt idx="44">
                        <c:v>2.92</c:v>
                      </c:pt>
                      <c:pt idx="45">
                        <c:v>7.38</c:v>
                      </c:pt>
                      <c:pt idx="46">
                        <c:v>5.62</c:v>
                      </c:pt>
                      <c:pt idx="47">
                        <c:v>2.57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87E-4ED2-A4CE-5FD1CD69913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database'!$G$1</c15:sqref>
                        </c15:formulaRef>
                      </c:ext>
                    </c:extLst>
                    <c:strCache>
                      <c:ptCount val="1"/>
                      <c:pt idx="0">
                        <c:v>A.A. Cyclist Infrastructure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database'!$G$2:$G$49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7E-4ED2-A4CE-5FD1CD69913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database'!$H$1</c15:sqref>
                        </c15:formulaRef>
                      </c:ext>
                    </c:extLst>
                    <c:strCache>
                      <c:ptCount val="1"/>
                      <c:pt idx="0">
                        <c:v>A.A. Defects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database'!$H$2:$H$49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7E-4ED2-A4CE-5FD1CD69913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database'!$I$1</c15:sqref>
                        </c15:formulaRef>
                      </c:ext>
                    </c:extLst>
                    <c:strCache>
                      <c:ptCount val="1"/>
                      <c:pt idx="0">
                        <c:v>A.A. Pavement Type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database'!$I$2:$I$49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7E-4ED2-A4CE-5FD1CD69913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database'!$J$1</c15:sqref>
                        </c15:formulaRef>
                      </c:ext>
                    </c:extLst>
                    <c:strCache>
                      <c:ptCount val="1"/>
                      <c:pt idx="0">
                        <c:v>A.A. Major Street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database'!$J$2:$J$49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7E-4ED2-A4CE-5FD1CD69913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database'!$K$1</c15:sqref>
                        </c15:formulaRef>
                      </c:ext>
                    </c:extLst>
                    <c:strCache>
                      <c:ptCount val="1"/>
                      <c:pt idx="0">
                        <c:v>Old A.A. Score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database'!$K$2:$K$49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5.16</c:v>
                      </c:pt>
                      <c:pt idx="1">
                        <c:v>5.91</c:v>
                      </c:pt>
                      <c:pt idx="2">
                        <c:v>5.16</c:v>
                      </c:pt>
                      <c:pt idx="3">
                        <c:v>7.1</c:v>
                      </c:pt>
                      <c:pt idx="4">
                        <c:v>3.01</c:v>
                      </c:pt>
                      <c:pt idx="5">
                        <c:v>5.91</c:v>
                      </c:pt>
                      <c:pt idx="6">
                        <c:v>5.16</c:v>
                      </c:pt>
                      <c:pt idx="7">
                        <c:v>3.01</c:v>
                      </c:pt>
                      <c:pt idx="8">
                        <c:v>7.1</c:v>
                      </c:pt>
                      <c:pt idx="9">
                        <c:v>5.91</c:v>
                      </c:pt>
                      <c:pt idx="10">
                        <c:v>5.91</c:v>
                      </c:pt>
                      <c:pt idx="11">
                        <c:v>5.91</c:v>
                      </c:pt>
                      <c:pt idx="12">
                        <c:v>5.16</c:v>
                      </c:pt>
                      <c:pt idx="13">
                        <c:v>2.9</c:v>
                      </c:pt>
                      <c:pt idx="14">
                        <c:v>9.25</c:v>
                      </c:pt>
                      <c:pt idx="15">
                        <c:v>5.16</c:v>
                      </c:pt>
                      <c:pt idx="16">
                        <c:v>7.1</c:v>
                      </c:pt>
                      <c:pt idx="17">
                        <c:v>9.25</c:v>
                      </c:pt>
                      <c:pt idx="18">
                        <c:v>2.9</c:v>
                      </c:pt>
                      <c:pt idx="19">
                        <c:v>7.1</c:v>
                      </c:pt>
                      <c:pt idx="20">
                        <c:v>5.91</c:v>
                      </c:pt>
                      <c:pt idx="21">
                        <c:v>9.25</c:v>
                      </c:pt>
                      <c:pt idx="22">
                        <c:v>7.1</c:v>
                      </c:pt>
                      <c:pt idx="23">
                        <c:v>7.1</c:v>
                      </c:pt>
                      <c:pt idx="24">
                        <c:v>7.1</c:v>
                      </c:pt>
                      <c:pt idx="25">
                        <c:v>0</c:v>
                      </c:pt>
                      <c:pt idx="26">
                        <c:v>7.1</c:v>
                      </c:pt>
                      <c:pt idx="27">
                        <c:v>0</c:v>
                      </c:pt>
                      <c:pt idx="28">
                        <c:v>2.9</c:v>
                      </c:pt>
                      <c:pt idx="29">
                        <c:v>3.01</c:v>
                      </c:pt>
                      <c:pt idx="30">
                        <c:v>2.2599999999999998</c:v>
                      </c:pt>
                      <c:pt idx="31">
                        <c:v>7.1</c:v>
                      </c:pt>
                      <c:pt idx="32">
                        <c:v>2.2599999999999998</c:v>
                      </c:pt>
                      <c:pt idx="33">
                        <c:v>2.9</c:v>
                      </c:pt>
                      <c:pt idx="34">
                        <c:v>2.2599999999999998</c:v>
                      </c:pt>
                      <c:pt idx="35">
                        <c:v>3.01</c:v>
                      </c:pt>
                      <c:pt idx="36">
                        <c:v>10</c:v>
                      </c:pt>
                      <c:pt idx="37">
                        <c:v>3.01</c:v>
                      </c:pt>
                      <c:pt idx="38">
                        <c:v>2.9</c:v>
                      </c:pt>
                      <c:pt idx="39">
                        <c:v>2.9</c:v>
                      </c:pt>
                      <c:pt idx="40">
                        <c:v>2.9</c:v>
                      </c:pt>
                      <c:pt idx="41">
                        <c:v>5.91</c:v>
                      </c:pt>
                      <c:pt idx="42">
                        <c:v>2.9</c:v>
                      </c:pt>
                      <c:pt idx="43">
                        <c:v>10</c:v>
                      </c:pt>
                      <c:pt idx="44">
                        <c:v>7.1</c:v>
                      </c:pt>
                      <c:pt idx="45">
                        <c:v>6.99</c:v>
                      </c:pt>
                      <c:pt idx="46">
                        <c:v>0</c:v>
                      </c:pt>
                      <c:pt idx="47">
                        <c:v>9.25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7E-4ED2-A4CE-5FD1CD69913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database'!$L$1</c15:sqref>
                        </c15:formulaRef>
                      </c:ext>
                    </c:extLst>
                    <c:strCache>
                      <c:ptCount val="1"/>
                      <c:pt idx="0">
                        <c:v>Old Error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database'!$L$2:$L$49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9.9999999999997868E-3</c:v>
                      </c:pt>
                      <c:pt idx="1">
                        <c:v>0.91000000000000014</c:v>
                      </c:pt>
                      <c:pt idx="2">
                        <c:v>0.25</c:v>
                      </c:pt>
                      <c:pt idx="3">
                        <c:v>0.29999999999999982</c:v>
                      </c:pt>
                      <c:pt idx="4">
                        <c:v>0.50999999999999979</c:v>
                      </c:pt>
                      <c:pt idx="5">
                        <c:v>1.2800000000000002</c:v>
                      </c:pt>
                      <c:pt idx="6">
                        <c:v>0.66000000000000014</c:v>
                      </c:pt>
                      <c:pt idx="7">
                        <c:v>2.5499999999999998</c:v>
                      </c:pt>
                      <c:pt idx="8">
                        <c:v>5.0000000000000711E-2</c:v>
                      </c:pt>
                      <c:pt idx="9">
                        <c:v>2.4900000000000002</c:v>
                      </c:pt>
                      <c:pt idx="10">
                        <c:v>0.20000000000000018</c:v>
                      </c:pt>
                      <c:pt idx="11">
                        <c:v>1.0499999999999998</c:v>
                      </c:pt>
                      <c:pt idx="12">
                        <c:v>1.0700000000000003</c:v>
                      </c:pt>
                      <c:pt idx="13">
                        <c:v>1.1000000000000001</c:v>
                      </c:pt>
                      <c:pt idx="14">
                        <c:v>1.25</c:v>
                      </c:pt>
                      <c:pt idx="15">
                        <c:v>0.52000000000000046</c:v>
                      </c:pt>
                      <c:pt idx="16">
                        <c:v>1.33</c:v>
                      </c:pt>
                      <c:pt idx="17">
                        <c:v>1.3399999999999999</c:v>
                      </c:pt>
                      <c:pt idx="18">
                        <c:v>0.87999999999999989</c:v>
                      </c:pt>
                      <c:pt idx="19">
                        <c:v>3.3699999999999997</c:v>
                      </c:pt>
                      <c:pt idx="20">
                        <c:v>2.2400000000000002</c:v>
                      </c:pt>
                      <c:pt idx="21">
                        <c:v>1.5199999999999996</c:v>
                      </c:pt>
                      <c:pt idx="22">
                        <c:v>1.6500000000000004</c:v>
                      </c:pt>
                      <c:pt idx="23">
                        <c:v>0.90000000000000036</c:v>
                      </c:pt>
                      <c:pt idx="24">
                        <c:v>1.7199999999999998</c:v>
                      </c:pt>
                      <c:pt idx="25">
                        <c:v>4.75</c:v>
                      </c:pt>
                      <c:pt idx="26">
                        <c:v>1.0400000000000009</c:v>
                      </c:pt>
                      <c:pt idx="27">
                        <c:v>4.09</c:v>
                      </c:pt>
                      <c:pt idx="28">
                        <c:v>1.85</c:v>
                      </c:pt>
                      <c:pt idx="29">
                        <c:v>1.1299999999999999</c:v>
                      </c:pt>
                      <c:pt idx="30">
                        <c:v>1.9400000000000004</c:v>
                      </c:pt>
                      <c:pt idx="31">
                        <c:v>2.8499999999999996</c:v>
                      </c:pt>
                      <c:pt idx="32">
                        <c:v>2.04</c:v>
                      </c:pt>
                      <c:pt idx="33">
                        <c:v>2.1</c:v>
                      </c:pt>
                      <c:pt idx="34">
                        <c:v>2.1400000000000006</c:v>
                      </c:pt>
                      <c:pt idx="35">
                        <c:v>2.1900000000000004</c:v>
                      </c:pt>
                      <c:pt idx="36">
                        <c:v>6.29</c:v>
                      </c:pt>
                      <c:pt idx="37">
                        <c:v>1.6600000000000001</c:v>
                      </c:pt>
                      <c:pt idx="38">
                        <c:v>2.77</c:v>
                      </c:pt>
                      <c:pt idx="39">
                        <c:v>2.85</c:v>
                      </c:pt>
                      <c:pt idx="40">
                        <c:v>3.35</c:v>
                      </c:pt>
                      <c:pt idx="41">
                        <c:v>0.45000000000000018</c:v>
                      </c:pt>
                      <c:pt idx="42">
                        <c:v>3.8300000000000005</c:v>
                      </c:pt>
                      <c:pt idx="43">
                        <c:v>4</c:v>
                      </c:pt>
                      <c:pt idx="44">
                        <c:v>4.18</c:v>
                      </c:pt>
                      <c:pt idx="45">
                        <c:v>0.38999999999999968</c:v>
                      </c:pt>
                      <c:pt idx="46">
                        <c:v>5.62</c:v>
                      </c:pt>
                      <c:pt idx="47">
                        <c:v>6.68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87E-4ED2-A4CE-5FD1CD69913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database'!$M$1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database'!$M$2:$M$49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7">
                        <c:v>0</c:v>
                      </c:pt>
                      <c:pt idx="41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7E-4ED2-A4CE-5FD1CD69913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database'!$N$1</c15:sqref>
                        </c15:formulaRef>
                      </c:ext>
                    </c:extLst>
                    <c:strCache>
                      <c:ptCount val="1"/>
                      <c:pt idx="0">
                        <c:v>Automatic Score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10</c:v>
                      </c:pt>
                      <c:pt idx="3">
                        <c:v>44</c:v>
                      </c:pt>
                      <c:pt idx="4">
                        <c:v>20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25</c:v>
                      </c:pt>
                      <c:pt idx="8">
                        <c:v>1</c:v>
                      </c:pt>
                      <c:pt idx="9">
                        <c:v>42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23</c:v>
                      </c:pt>
                      <c:pt idx="13">
                        <c:v>15</c:v>
                      </c:pt>
                      <c:pt idx="14">
                        <c:v>43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34</c:v>
                      </c:pt>
                      <c:pt idx="19">
                        <c:v>26</c:v>
                      </c:pt>
                      <c:pt idx="20">
                        <c:v>2</c:v>
                      </c:pt>
                      <c:pt idx="21">
                        <c:v>31</c:v>
                      </c:pt>
                      <c:pt idx="22">
                        <c:v>18</c:v>
                      </c:pt>
                      <c:pt idx="23">
                        <c:v>45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40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12</c:v>
                      </c:pt>
                      <c:pt idx="30">
                        <c:v>39</c:v>
                      </c:pt>
                      <c:pt idx="31">
                        <c:v>7</c:v>
                      </c:pt>
                      <c:pt idx="32">
                        <c:v>11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14</c:v>
                      </c:pt>
                      <c:pt idx="37">
                        <c:v>41</c:v>
                      </c:pt>
                      <c:pt idx="38">
                        <c:v>48</c:v>
                      </c:pt>
                      <c:pt idx="39">
                        <c:v>46</c:v>
                      </c:pt>
                      <c:pt idx="40">
                        <c:v>13</c:v>
                      </c:pt>
                      <c:pt idx="41">
                        <c:v>32</c:v>
                      </c:pt>
                      <c:pt idx="42">
                        <c:v>28</c:v>
                      </c:pt>
                      <c:pt idx="43">
                        <c:v>22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30</c:v>
                      </c:pt>
                      <c:pt idx="47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database'!$N$2:$N$49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5.16</c:v>
                      </c:pt>
                      <c:pt idx="1">
                        <c:v>5.16</c:v>
                      </c:pt>
                      <c:pt idx="2">
                        <c:v>5.16</c:v>
                      </c:pt>
                      <c:pt idx="3">
                        <c:v>6.35</c:v>
                      </c:pt>
                      <c:pt idx="4">
                        <c:v>3.01</c:v>
                      </c:pt>
                      <c:pt idx="5">
                        <c:v>5.16</c:v>
                      </c:pt>
                      <c:pt idx="6">
                        <c:v>5.16</c:v>
                      </c:pt>
                      <c:pt idx="7">
                        <c:v>6.35</c:v>
                      </c:pt>
                      <c:pt idx="8">
                        <c:v>6.35</c:v>
                      </c:pt>
                      <c:pt idx="9">
                        <c:v>9.25</c:v>
                      </c:pt>
                      <c:pt idx="10">
                        <c:v>5.16</c:v>
                      </c:pt>
                      <c:pt idx="11">
                        <c:v>5.91</c:v>
                      </c:pt>
                      <c:pt idx="12">
                        <c:v>5.16</c:v>
                      </c:pt>
                      <c:pt idx="13">
                        <c:v>2.9</c:v>
                      </c:pt>
                      <c:pt idx="14">
                        <c:v>9.25</c:v>
                      </c:pt>
                      <c:pt idx="15">
                        <c:v>5.91</c:v>
                      </c:pt>
                      <c:pt idx="16">
                        <c:v>7.1</c:v>
                      </c:pt>
                      <c:pt idx="17">
                        <c:v>9.25</c:v>
                      </c:pt>
                      <c:pt idx="18">
                        <c:v>5.16</c:v>
                      </c:pt>
                      <c:pt idx="19">
                        <c:v>2.2599999999999998</c:v>
                      </c:pt>
                      <c:pt idx="20">
                        <c:v>5.16</c:v>
                      </c:pt>
                      <c:pt idx="21">
                        <c:v>9.25</c:v>
                      </c:pt>
                      <c:pt idx="22">
                        <c:v>7.1</c:v>
                      </c:pt>
                      <c:pt idx="23">
                        <c:v>6.35</c:v>
                      </c:pt>
                      <c:pt idx="24">
                        <c:v>7.1</c:v>
                      </c:pt>
                      <c:pt idx="25">
                        <c:v>3.01</c:v>
                      </c:pt>
                      <c:pt idx="26">
                        <c:v>6.35</c:v>
                      </c:pt>
                      <c:pt idx="27">
                        <c:v>2.2599999999999998</c:v>
                      </c:pt>
                      <c:pt idx="28">
                        <c:v>2.9</c:v>
                      </c:pt>
                      <c:pt idx="29">
                        <c:v>2.2599999999999998</c:v>
                      </c:pt>
                      <c:pt idx="30">
                        <c:v>2.2599999999999998</c:v>
                      </c:pt>
                      <c:pt idx="31">
                        <c:v>2.2599999999999998</c:v>
                      </c:pt>
                      <c:pt idx="32">
                        <c:v>2.2599999999999998</c:v>
                      </c:pt>
                      <c:pt idx="33">
                        <c:v>2.9</c:v>
                      </c:pt>
                      <c:pt idx="34">
                        <c:v>2.2599999999999998</c:v>
                      </c:pt>
                      <c:pt idx="35">
                        <c:v>3.01</c:v>
                      </c:pt>
                      <c:pt idx="36">
                        <c:v>5.91</c:v>
                      </c:pt>
                      <c:pt idx="37">
                        <c:v>2.2599999999999998</c:v>
                      </c:pt>
                      <c:pt idx="38">
                        <c:v>2.9</c:v>
                      </c:pt>
                      <c:pt idx="39">
                        <c:v>2.9</c:v>
                      </c:pt>
                      <c:pt idx="40">
                        <c:v>2.9</c:v>
                      </c:pt>
                      <c:pt idx="41">
                        <c:v>10</c:v>
                      </c:pt>
                      <c:pt idx="42">
                        <c:v>2.9</c:v>
                      </c:pt>
                      <c:pt idx="43">
                        <c:v>10</c:v>
                      </c:pt>
                      <c:pt idx="44">
                        <c:v>7.1</c:v>
                      </c:pt>
                      <c:pt idx="45">
                        <c:v>2.9</c:v>
                      </c:pt>
                      <c:pt idx="46">
                        <c:v>0</c:v>
                      </c:pt>
                      <c:pt idx="47">
                        <c:v>9.25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87E-4ED2-A4CE-5FD1CD69913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6"/>
          <c:order val="16"/>
          <c:tx>
            <c:v>Threshold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'Perceptions database'!$P$2:$P$49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2A-4975-9094-4BCE504CFE6B}"/>
            </c:ext>
          </c:extLst>
        </c:ser>
        <c:ser>
          <c:idx val="17"/>
          <c:order val="17"/>
          <c:tx>
            <c:v>Median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'Perceptions database'!$Q$2:$Q$49</c:f>
              <c:numCache>
                <c:formatCode>General</c:formatCode>
                <c:ptCount val="48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  <c:pt idx="3">
                  <c:v>1.69</c:v>
                </c:pt>
                <c:pt idx="4">
                  <c:v>1.69</c:v>
                </c:pt>
                <c:pt idx="5">
                  <c:v>1.69</c:v>
                </c:pt>
                <c:pt idx="6">
                  <c:v>1.69</c:v>
                </c:pt>
                <c:pt idx="7">
                  <c:v>1.69</c:v>
                </c:pt>
                <c:pt idx="8">
                  <c:v>1.69</c:v>
                </c:pt>
                <c:pt idx="9">
                  <c:v>1.69</c:v>
                </c:pt>
                <c:pt idx="10">
                  <c:v>1.69</c:v>
                </c:pt>
                <c:pt idx="11">
                  <c:v>1.69</c:v>
                </c:pt>
                <c:pt idx="12">
                  <c:v>1.69</c:v>
                </c:pt>
                <c:pt idx="13">
                  <c:v>1.69</c:v>
                </c:pt>
                <c:pt idx="14">
                  <c:v>1.69</c:v>
                </c:pt>
                <c:pt idx="15">
                  <c:v>1.69</c:v>
                </c:pt>
                <c:pt idx="16">
                  <c:v>1.69</c:v>
                </c:pt>
                <c:pt idx="17">
                  <c:v>1.69</c:v>
                </c:pt>
                <c:pt idx="18">
                  <c:v>1.69</c:v>
                </c:pt>
                <c:pt idx="19">
                  <c:v>1.69</c:v>
                </c:pt>
                <c:pt idx="20">
                  <c:v>1.69</c:v>
                </c:pt>
                <c:pt idx="21">
                  <c:v>1.69</c:v>
                </c:pt>
                <c:pt idx="22">
                  <c:v>1.69</c:v>
                </c:pt>
                <c:pt idx="23">
                  <c:v>1.69</c:v>
                </c:pt>
                <c:pt idx="24">
                  <c:v>1.69</c:v>
                </c:pt>
                <c:pt idx="25">
                  <c:v>1.69</c:v>
                </c:pt>
                <c:pt idx="26">
                  <c:v>1.69</c:v>
                </c:pt>
                <c:pt idx="27">
                  <c:v>1.69</c:v>
                </c:pt>
                <c:pt idx="28">
                  <c:v>1.69</c:v>
                </c:pt>
                <c:pt idx="29">
                  <c:v>1.69</c:v>
                </c:pt>
                <c:pt idx="30">
                  <c:v>1.69</c:v>
                </c:pt>
                <c:pt idx="31">
                  <c:v>1.69</c:v>
                </c:pt>
                <c:pt idx="32">
                  <c:v>1.69</c:v>
                </c:pt>
                <c:pt idx="33">
                  <c:v>1.69</c:v>
                </c:pt>
                <c:pt idx="34">
                  <c:v>1.69</c:v>
                </c:pt>
                <c:pt idx="35">
                  <c:v>1.69</c:v>
                </c:pt>
                <c:pt idx="36">
                  <c:v>1.69</c:v>
                </c:pt>
                <c:pt idx="37">
                  <c:v>1.69</c:v>
                </c:pt>
                <c:pt idx="38">
                  <c:v>1.69</c:v>
                </c:pt>
                <c:pt idx="39">
                  <c:v>1.69</c:v>
                </c:pt>
                <c:pt idx="40">
                  <c:v>1.69</c:v>
                </c:pt>
                <c:pt idx="41">
                  <c:v>1.69</c:v>
                </c:pt>
                <c:pt idx="42">
                  <c:v>1.69</c:v>
                </c:pt>
                <c:pt idx="43">
                  <c:v>1.69</c:v>
                </c:pt>
                <c:pt idx="44">
                  <c:v>1.69</c:v>
                </c:pt>
                <c:pt idx="45">
                  <c:v>1.69</c:v>
                </c:pt>
                <c:pt idx="46">
                  <c:v>1.69</c:v>
                </c:pt>
                <c:pt idx="47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2A-4975-9094-4BCE504C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077007"/>
        <c:axId val="1703067359"/>
        <c:extLst>
          <c:ext xmlns:c15="http://schemas.microsoft.com/office/drawing/2012/chart" uri="{02D57815-91ED-43cb-92C2-25804820EDAC}">
            <c15:filteredLineSeries>
              <c15:ser>
                <c:idx val="14"/>
                <c:order val="14"/>
                <c:tx>
                  <c:v>T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'Perceptions database'!$Q$1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2A-4975-9094-4BCE504CFE6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v>M</c:v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'Perceptions database'!$V$1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52A-4975-9094-4BCE504CFE6B}"/>
                  </c:ext>
                </c:extLst>
              </c15:ser>
            </c15:filteredLineSeries>
          </c:ext>
        </c:extLst>
      </c:lineChart>
      <c:catAx>
        <c:axId val="17030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  <a:r>
                  <a:rPr lang="en-US" baseline="0"/>
                  <a:t> segments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067359"/>
        <c:crosses val="autoZero"/>
        <c:auto val="1"/>
        <c:lblAlgn val="ctr"/>
        <c:lblOffset val="100"/>
        <c:noMultiLvlLbl val="0"/>
      </c:catAx>
      <c:valAx>
        <c:axId val="17030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0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304801</xdr:colOff>
      <xdr:row>4</xdr:row>
      <xdr:rowOff>95250</xdr:rowOff>
    </xdr:from>
    <xdr:to>
      <xdr:col>47</xdr:col>
      <xdr:colOff>114301</xdr:colOff>
      <xdr:row>36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064A5-1BF9-748A-C8D0-C5B2AB55C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CF63E8-2151-4D3F-B922-8C2563C06EE2}" name="Table1" displayName="Table1" ref="A1:Q49" totalsRowShown="0">
  <autoFilter ref="A1:Q49" xr:uid="{1BCF63E8-2151-4D3F-B922-8C2563C06EE2}"/>
  <sortState xmlns:xlrd2="http://schemas.microsoft.com/office/spreadsheetml/2017/richdata2" ref="A2:O49">
    <sortCondition ref="O1:O49"/>
  </sortState>
  <tableColumns count="17">
    <tableColumn id="1" xr3:uid="{79931B52-0E54-41DF-B371-FE59C1B712AB}" name="Column1"/>
    <tableColumn id="2" xr3:uid="{648039FB-B077-4A3C-99A5-6CAD6B4F9331}" name="RouteID(Database)"/>
    <tableColumn id="3" xr3:uid="{E33FA8C7-184B-4542-B9CE-28A73C80EF69}" name="ImagemUrl"/>
    <tableColumn id="4" xr3:uid="{CBD8B280-8063-440E-AC17-651CA0A4852D}" name="Lat"/>
    <tableColumn id="5" xr3:uid="{9BA5DD64-6065-48DC-B8DE-4AA2FDDE2B5D}" name="Lon"/>
    <tableColumn id="6" xr3:uid="{BCF26073-9737-4063-9137-3E5D832DCAAD}" name="Cyclist perception"/>
    <tableColumn id="7" xr3:uid="{EE29CF36-C203-4E54-BD4B-504545FB1A48}" name="A.A. Cyclist Infrastructure"/>
    <tableColumn id="8" xr3:uid="{BD3DD24C-1F8C-4547-AE05-842F70691B54}" name="A.A. Defects"/>
    <tableColumn id="9" xr3:uid="{A2BADA79-B676-4FE8-AC2D-4AD43BFBD89D}" name="A.A. Pavement Type"/>
    <tableColumn id="10" xr3:uid="{737A56F0-939C-474D-8ABF-EB5F2FDCC44E}" name="A.A. Major Street"/>
    <tableColumn id="11" xr3:uid="{28C93AF7-6394-4680-84D7-FCC0F411CD92}" name="Old A.A. Score"/>
    <tableColumn id="12" xr3:uid="{8C41ECBF-3F73-4B2B-9146-C6606A3FF7D6}" name="Old Error">
      <calculatedColumnFormula>IF(F2-K2 &gt; 0, F2-K2, (F2-K2)*-1)</calculatedColumnFormula>
    </tableColumn>
    <tableColumn id="13" xr3:uid="{5E8FB42E-DB01-4C1D-A05A-A77EDE97292E}" name="Column2"/>
    <tableColumn id="14" xr3:uid="{B14063E0-E8E1-4C82-9710-8F0DAAC807F5}" name="Automatic Score"/>
    <tableColumn id="15" xr3:uid="{B278B842-703C-403D-BDC6-E4F9D144306E}" name="Error">
      <calculatedColumnFormula>IF(F2-N2 &gt; 0, F2-N2, (F2-N2)*-1)</calculatedColumnFormula>
    </tableColumn>
    <tableColumn id="17" xr3:uid="{867575AF-D42B-4FAE-AE92-4AC66879A043}" name="Threshold"/>
    <tableColumn id="18" xr3:uid="{3E6DCF22-132E-46CA-9D6F-259D582485DA}" name="Median">
      <calculatedColumnFormula>ROUND(MEDIAN(Table1[Error]),2)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B0AA-F1D0-4BE0-9E7C-2FE4515AA10D}">
  <dimension ref="A1:N50"/>
  <sheetViews>
    <sheetView zoomScale="130" zoomScaleNormal="130" workbookViewId="0">
      <selection activeCell="A30" sqref="A30"/>
    </sheetView>
  </sheetViews>
  <sheetFormatPr defaultRowHeight="15" x14ac:dyDescent="0.25"/>
  <cols>
    <col min="1" max="1" width="10.5703125" bestFit="1" customWidth="1"/>
    <col min="2" max="2" width="9.5703125" bestFit="1" customWidth="1"/>
    <col min="3" max="3" width="5.28515625" customWidth="1"/>
    <col min="4" max="4" width="6.7109375" customWidth="1"/>
    <col min="5" max="5" width="13.5703125" bestFit="1" customWidth="1"/>
    <col min="6" max="6" width="7.28515625" bestFit="1" customWidth="1"/>
    <col min="7" max="7" width="17.28515625" bestFit="1" customWidth="1"/>
    <col min="8" max="8" width="12.7109375" bestFit="1" customWidth="1"/>
    <col min="9" max="9" width="3.7109375" customWidth="1"/>
    <col min="10" max="10" width="4.7109375" customWidth="1"/>
    <col min="11" max="11" width="116.7109375" customWidth="1"/>
    <col min="13" max="13" width="17.28515625" bestFit="1" customWidth="1"/>
  </cols>
  <sheetData>
    <row r="1" spans="1:14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18</v>
      </c>
      <c r="I1" t="s">
        <v>112</v>
      </c>
    </row>
    <row r="2" spans="1:14" x14ac:dyDescent="0.25">
      <c r="A2" t="s">
        <v>14</v>
      </c>
      <c r="B2" t="s">
        <v>15</v>
      </c>
      <c r="C2">
        <v>35</v>
      </c>
      <c r="D2" t="s">
        <v>111</v>
      </c>
      <c r="E2" t="s">
        <v>7</v>
      </c>
      <c r="F2" t="s">
        <v>8</v>
      </c>
      <c r="G2" t="s">
        <v>9</v>
      </c>
      <c r="H2" t="str">
        <f>_xlfn.CONCAT("segment",I2)</f>
        <v>segment1</v>
      </c>
      <c r="I2">
        <v>1</v>
      </c>
      <c r="J2" t="str">
        <f>_xlfn.CONCAT("getImagesFromGSV('", A2, ",",B2,"', 'C:\\Projetos\\Mestrado\\masters_thesis\\workspace\\gsv\\images\\survey',",C2,",'",H2,"')")</f>
        <v>getImagesFromGSV('38.7319946,-9.1049083', 'C:\\Projetos\\Mestrado\\masters_thesis\\workspace\\gsv\\images\\survey',35,'segment1')</v>
      </c>
      <c r="K2" t="str">
        <f>_xlfn.CONCAT("INSERT INTO Routes([ImageUrl],[Lat],[Lon]) VALUES ('img/",H2,".jpg','",A2,"','",B2,"')")</f>
        <v>INSERT INTO Routes([ImageUrl],[Lat],[Lon]) VALUES ('img/segment1.jpg','38.7319946','-9.1049083')</v>
      </c>
      <c r="M2" t="s">
        <v>7</v>
      </c>
      <c r="N2">
        <f>COUNTIF(E:E,"Asphalt")</f>
        <v>29</v>
      </c>
    </row>
    <row r="3" spans="1:14" x14ac:dyDescent="0.25">
      <c r="A3" t="s">
        <v>16</v>
      </c>
      <c r="B3" t="s">
        <v>17</v>
      </c>
      <c r="C3">
        <v>6</v>
      </c>
      <c r="D3" t="s">
        <v>10</v>
      </c>
      <c r="E3" t="s">
        <v>7</v>
      </c>
      <c r="F3" t="s">
        <v>8</v>
      </c>
      <c r="G3" t="s">
        <v>8</v>
      </c>
      <c r="H3" t="str">
        <f t="shared" ref="H3:H50" si="0">_xlfn.CONCAT("segment",I3)</f>
        <v>segment2</v>
      </c>
      <c r="I3">
        <v>2</v>
      </c>
      <c r="J3" t="str">
        <f t="shared" ref="J3:J50" si="1">_xlfn.CONCAT("getImagesFromGSV('", A3, ",",B3,"', 'C:\\Projetos\\Mestrado\\masters_thesis\\workspace\\gsv\\images\\survey',",C3,",'",H3,"')")</f>
        <v>getImagesFromGSV('38.7380341,-9.1255956', 'C:\\Projetos\\Mestrado\\masters_thesis\\workspace\\gsv\\images\\survey',6,'segment2')</v>
      </c>
      <c r="K3" t="str">
        <f t="shared" ref="K3:K50" si="2">_xlfn.CONCAT("INSERT INTO Routes([ImageUrl],[Lat],[Lon]) VALUES ('img/",H3,".jpg','",A3,"','",B3,"')")</f>
        <v>INSERT INTO Routes([ImageUrl],[Lat],[Lon]) VALUES ('img/segment2.jpg','38.7380341','-9.1255956')</v>
      </c>
      <c r="M3" t="s">
        <v>23</v>
      </c>
      <c r="N3">
        <f>COUNTIF(E:E,"Cobblestone")</f>
        <v>10</v>
      </c>
    </row>
    <row r="4" spans="1:14" x14ac:dyDescent="0.25">
      <c r="A4" t="s">
        <v>11</v>
      </c>
      <c r="B4" t="s">
        <v>12</v>
      </c>
      <c r="C4">
        <v>125</v>
      </c>
      <c r="D4" t="s">
        <v>10</v>
      </c>
      <c r="E4" t="s">
        <v>13</v>
      </c>
      <c r="F4" t="s">
        <v>8</v>
      </c>
      <c r="G4" t="s">
        <v>8</v>
      </c>
      <c r="H4" t="str">
        <f t="shared" si="0"/>
        <v>segment3</v>
      </c>
      <c r="I4">
        <v>3</v>
      </c>
      <c r="J4" t="str">
        <f t="shared" si="1"/>
        <v>getImagesFromGSV('38.7369438,-9.1900867', 'C:\\Projetos\\Mestrado\\masters_thesis\\workspace\\gsv\\images\\survey',125,'segment3')</v>
      </c>
      <c r="K4" t="str">
        <f t="shared" si="2"/>
        <v>INSERT INTO Routes([ImageUrl],[Lat],[Lon]) VALUES ('img/segment3.jpg','38.7369438','-9.1900867')</v>
      </c>
      <c r="M4" t="s">
        <v>13</v>
      </c>
      <c r="N4">
        <f>COUNTIF(E:E,"Unpaved")</f>
        <v>9</v>
      </c>
    </row>
    <row r="5" spans="1:14" x14ac:dyDescent="0.25">
      <c r="A5" t="s">
        <v>19</v>
      </c>
      <c r="B5" t="s">
        <v>20</v>
      </c>
      <c r="C5">
        <v>60</v>
      </c>
      <c r="D5" t="s">
        <v>10</v>
      </c>
      <c r="E5" t="s">
        <v>7</v>
      </c>
      <c r="F5" t="s">
        <v>8</v>
      </c>
      <c r="G5" t="s">
        <v>8</v>
      </c>
      <c r="H5" t="str">
        <f t="shared" si="0"/>
        <v>segment4</v>
      </c>
      <c r="I5">
        <v>4</v>
      </c>
      <c r="J5" t="str">
        <f t="shared" si="1"/>
        <v>getImagesFromGSV('38.7384427,-9.1255362', 'C:\\Projetos\\Mestrado\\masters_thesis\\workspace\\gsv\\images\\survey',60,'segment4')</v>
      </c>
      <c r="K5" t="str">
        <f t="shared" si="2"/>
        <v>INSERT INTO Routes([ImageUrl],[Lat],[Lon]) VALUES ('img/segment4.jpg','38.7384427','-9.1255362')</v>
      </c>
      <c r="M5" t="s">
        <v>4</v>
      </c>
      <c r="N5">
        <f>COUNTIF(F:F,"Yes")</f>
        <v>12</v>
      </c>
    </row>
    <row r="6" spans="1:14" x14ac:dyDescent="0.25">
      <c r="A6" t="s">
        <v>21</v>
      </c>
      <c r="B6" t="s">
        <v>22</v>
      </c>
      <c r="C6">
        <v>5</v>
      </c>
      <c r="D6" t="s">
        <v>111</v>
      </c>
      <c r="E6" t="s">
        <v>7</v>
      </c>
      <c r="F6" t="s">
        <v>8</v>
      </c>
      <c r="G6" t="s">
        <v>8</v>
      </c>
      <c r="H6" t="str">
        <f t="shared" si="0"/>
        <v>segment5</v>
      </c>
      <c r="I6">
        <v>5</v>
      </c>
      <c r="J6" t="str">
        <f t="shared" si="1"/>
        <v>getImagesFromGSV('38.7386999,-9.1336203', 'C:\\Projetos\\Mestrado\\masters_thesis\\workspace\\gsv\\images\\survey',5,'segment5')</v>
      </c>
      <c r="K6" t="str">
        <f t="shared" si="2"/>
        <v>INSERT INTO Routes([ImageUrl],[Lat],[Lon]) VALUES ('img/segment5.jpg','38.7386999','-9.1336203')</v>
      </c>
      <c r="M6" t="s">
        <v>5</v>
      </c>
      <c r="N6">
        <f>COUNTIF(G:G,"Yes")</f>
        <v>16</v>
      </c>
    </row>
    <row r="7" spans="1:14" x14ac:dyDescent="0.25">
      <c r="A7" t="s">
        <v>25</v>
      </c>
      <c r="B7" t="s">
        <v>26</v>
      </c>
      <c r="C7">
        <v>330</v>
      </c>
      <c r="D7" t="s">
        <v>10</v>
      </c>
      <c r="E7" t="s">
        <v>7</v>
      </c>
      <c r="F7" t="s">
        <v>8</v>
      </c>
      <c r="G7" t="s">
        <v>8</v>
      </c>
      <c r="H7" t="str">
        <f t="shared" si="0"/>
        <v>segment6</v>
      </c>
      <c r="I7">
        <v>6</v>
      </c>
      <c r="J7" t="str">
        <f t="shared" si="1"/>
        <v>getImagesFromGSV('38.7442663,-9.1375879', 'C:\\Projetos\\Mestrado\\masters_thesis\\workspace\\gsv\\images\\survey',330,'segment6')</v>
      </c>
      <c r="K7" t="str">
        <f t="shared" si="2"/>
        <v>INSERT INTO Routes([ImageUrl],[Lat],[Lon]) VALUES ('img/segment6.jpg','38.7442663','-9.1375879')</v>
      </c>
      <c r="M7" t="s">
        <v>24</v>
      </c>
      <c r="N7">
        <f>COUNTIF(D:D,"Major")</f>
        <v>13</v>
      </c>
    </row>
    <row r="8" spans="1:14" x14ac:dyDescent="0.25">
      <c r="A8" t="s">
        <v>27</v>
      </c>
      <c r="B8" t="s">
        <v>28</v>
      </c>
      <c r="C8">
        <v>72</v>
      </c>
      <c r="D8" t="s">
        <v>10</v>
      </c>
      <c r="E8" t="s">
        <v>23</v>
      </c>
      <c r="F8" t="s">
        <v>8</v>
      </c>
      <c r="G8" t="s">
        <v>8</v>
      </c>
      <c r="H8" t="str">
        <f t="shared" si="0"/>
        <v>segment7</v>
      </c>
      <c r="I8">
        <v>7</v>
      </c>
      <c r="J8" t="str">
        <f t="shared" si="1"/>
        <v>getImagesFromGSV('38.7065136,-9.1376293', 'C:\\Projetos\\Mestrado\\masters_thesis\\workspace\\gsv\\images\\survey',72,'segment7')</v>
      </c>
      <c r="K8" t="str">
        <f t="shared" si="2"/>
        <v>INSERT INTO Routes([ImageUrl],[Lat],[Lon]) VALUES ('img/segment7.jpg','38.7065136','-9.1376293')</v>
      </c>
    </row>
    <row r="9" spans="1:14" x14ac:dyDescent="0.25">
      <c r="A9" t="s">
        <v>29</v>
      </c>
      <c r="B9" t="s">
        <v>30</v>
      </c>
      <c r="C9">
        <v>272</v>
      </c>
      <c r="D9" t="s">
        <v>111</v>
      </c>
      <c r="E9" t="s">
        <v>7</v>
      </c>
      <c r="F9" t="s">
        <v>8</v>
      </c>
      <c r="G9" t="s">
        <v>9</v>
      </c>
      <c r="H9" t="str">
        <f t="shared" si="0"/>
        <v>segment8</v>
      </c>
      <c r="I9">
        <v>8</v>
      </c>
      <c r="J9" t="str">
        <f t="shared" si="1"/>
        <v>getImagesFromGSV('38.7065507,-9.1487473', 'C:\\Projetos\\Mestrado\\masters_thesis\\workspace\\gsv\\images\\survey',272,'segment8')</v>
      </c>
      <c r="K9" t="str">
        <f t="shared" si="2"/>
        <v>INSERT INTO Routes([ImageUrl],[Lat],[Lon]) VALUES ('img/segment8.jpg','38.7065507','-9.1487473')</v>
      </c>
    </row>
    <row r="10" spans="1:14" x14ac:dyDescent="0.25">
      <c r="A10" t="s">
        <v>31</v>
      </c>
      <c r="B10" t="s">
        <v>32</v>
      </c>
      <c r="C10">
        <v>104</v>
      </c>
      <c r="D10" t="s">
        <v>10</v>
      </c>
      <c r="E10" t="s">
        <v>7</v>
      </c>
      <c r="F10" t="s">
        <v>9</v>
      </c>
      <c r="G10" t="s">
        <v>8</v>
      </c>
      <c r="H10" t="str">
        <f t="shared" si="0"/>
        <v>segment9</v>
      </c>
      <c r="I10">
        <v>9</v>
      </c>
      <c r="J10" t="str">
        <f t="shared" si="1"/>
        <v>getImagesFromGSV('38.7087894,-9.1487913', 'C:\\Projetos\\Mestrado\\masters_thesis\\workspace\\gsv\\images\\survey',104,'segment9')</v>
      </c>
      <c r="K10" t="str">
        <f t="shared" si="2"/>
        <v>INSERT INTO Routes([ImageUrl],[Lat],[Lon]) VALUES ('img/segment9.jpg','38.7087894','-9.1487913')</v>
      </c>
    </row>
    <row r="11" spans="1:14" x14ac:dyDescent="0.25">
      <c r="A11" t="s">
        <v>33</v>
      </c>
      <c r="B11" t="s">
        <v>34</v>
      </c>
      <c r="C11">
        <v>15</v>
      </c>
      <c r="D11" t="s">
        <v>10</v>
      </c>
      <c r="E11" t="s">
        <v>23</v>
      </c>
      <c r="F11" t="s">
        <v>8</v>
      </c>
      <c r="G11" t="s">
        <v>8</v>
      </c>
      <c r="H11" t="str">
        <f t="shared" si="0"/>
        <v>segment10</v>
      </c>
      <c r="I11">
        <v>10</v>
      </c>
      <c r="J11" t="str">
        <f t="shared" si="1"/>
        <v>getImagesFromGSV('38.7111384,-9.1459204', 'C:\\Projetos\\Mestrado\\masters_thesis\\workspace\\gsv\\images\\survey',15,'segment10')</v>
      </c>
      <c r="K11" t="str">
        <f t="shared" si="2"/>
        <v>INSERT INTO Routes([ImageUrl],[Lat],[Lon]) VALUES ('img/segment10.jpg','38.7111384','-9.1459204')</v>
      </c>
    </row>
    <row r="12" spans="1:14" x14ac:dyDescent="0.25">
      <c r="A12" t="s">
        <v>35</v>
      </c>
      <c r="B12" t="s">
        <v>36</v>
      </c>
      <c r="C12">
        <v>138</v>
      </c>
      <c r="D12" t="s">
        <v>10</v>
      </c>
      <c r="E12" t="s">
        <v>23</v>
      </c>
      <c r="F12" t="s">
        <v>8</v>
      </c>
      <c r="G12" t="s">
        <v>8</v>
      </c>
      <c r="H12" t="str">
        <f t="shared" si="0"/>
        <v>segment11</v>
      </c>
      <c r="I12">
        <v>11</v>
      </c>
      <c r="J12" t="str">
        <f t="shared" si="1"/>
        <v>getImagesFromGSV('38.7148182,-9.140941', 'C:\\Projetos\\Mestrado\\masters_thesis\\workspace\\gsv\\images\\survey',138,'segment11')</v>
      </c>
      <c r="K12" t="str">
        <f t="shared" si="2"/>
        <v>INSERT INTO Routes([ImageUrl],[Lat],[Lon]) VALUES ('img/segment11.jpg','38.7148182','-9.140941')</v>
      </c>
    </row>
    <row r="13" spans="1:14" x14ac:dyDescent="0.25">
      <c r="A13" t="s">
        <v>37</v>
      </c>
      <c r="B13" t="s">
        <v>38</v>
      </c>
      <c r="C13">
        <v>322</v>
      </c>
      <c r="D13" t="s">
        <v>10</v>
      </c>
      <c r="E13" t="s">
        <v>7</v>
      </c>
      <c r="F13" t="s">
        <v>8</v>
      </c>
      <c r="G13" t="s">
        <v>8</v>
      </c>
      <c r="H13" t="str">
        <f t="shared" si="0"/>
        <v>segment12</v>
      </c>
      <c r="I13">
        <v>12</v>
      </c>
      <c r="J13" t="str">
        <f t="shared" si="1"/>
        <v>getImagesFromGSV('38.7155098,-9.1412256', 'C:\\Projetos\\Mestrado\\masters_thesis\\workspace\\gsv\\images\\survey',322,'segment12')</v>
      </c>
      <c r="K13" t="str">
        <f t="shared" si="2"/>
        <v>INSERT INTO Routes([ImageUrl],[Lat],[Lon]) VALUES ('img/segment12.jpg','38.7155098','-9.1412256')</v>
      </c>
    </row>
    <row r="14" spans="1:14" x14ac:dyDescent="0.25">
      <c r="A14" t="s">
        <v>39</v>
      </c>
      <c r="B14" t="s">
        <v>40</v>
      </c>
      <c r="C14">
        <v>228</v>
      </c>
      <c r="D14" t="s">
        <v>10</v>
      </c>
      <c r="E14" t="s">
        <v>13</v>
      </c>
      <c r="F14" t="s">
        <v>8</v>
      </c>
      <c r="G14" t="s">
        <v>8</v>
      </c>
      <c r="H14" t="str">
        <f t="shared" si="0"/>
        <v>segment13</v>
      </c>
      <c r="I14">
        <v>13</v>
      </c>
      <c r="J14" t="str">
        <f t="shared" si="1"/>
        <v>getImagesFromGSV('38.719214,-9.1487906', 'C:\\Projetos\\Mestrado\\masters_thesis\\workspace\\gsv\\images\\survey',228,'segment13')</v>
      </c>
      <c r="K14" t="str">
        <f t="shared" si="2"/>
        <v>INSERT INTO Routes([ImageUrl],[Lat],[Lon]) VALUES ('img/segment13.jpg','38.719214','-9.1487906')</v>
      </c>
    </row>
    <row r="15" spans="1:14" x14ac:dyDescent="0.25">
      <c r="A15" t="s">
        <v>41</v>
      </c>
      <c r="B15" t="s">
        <v>42</v>
      </c>
      <c r="C15">
        <v>27</v>
      </c>
      <c r="D15" t="s">
        <v>10</v>
      </c>
      <c r="E15" t="s">
        <v>7</v>
      </c>
      <c r="F15" t="s">
        <v>8</v>
      </c>
      <c r="G15" t="s">
        <v>8</v>
      </c>
      <c r="H15" t="str">
        <f t="shared" si="0"/>
        <v>segment14</v>
      </c>
      <c r="I15">
        <v>14</v>
      </c>
      <c r="J15" t="str">
        <f t="shared" si="1"/>
        <v>getImagesFromGSV('38.7233071,-9.1511912', 'C:\\Projetos\\Mestrado\\masters_thesis\\workspace\\gsv\\images\\survey',27,'segment14')</v>
      </c>
      <c r="K15" t="str">
        <f t="shared" si="2"/>
        <v>INSERT INTO Routes([ImageUrl],[Lat],[Lon]) VALUES ('img/segment14.jpg','38.7233071','-9.1511912')</v>
      </c>
    </row>
    <row r="16" spans="1:14" x14ac:dyDescent="0.25">
      <c r="A16" t="s">
        <v>43</v>
      </c>
      <c r="B16" t="s">
        <v>44</v>
      </c>
      <c r="C16">
        <v>46</v>
      </c>
      <c r="D16" t="s">
        <v>10</v>
      </c>
      <c r="E16" t="s">
        <v>13</v>
      </c>
      <c r="F16" t="s">
        <v>8</v>
      </c>
      <c r="G16" t="s">
        <v>8</v>
      </c>
      <c r="H16" t="str">
        <f t="shared" si="0"/>
        <v>segment15</v>
      </c>
      <c r="I16">
        <v>15</v>
      </c>
      <c r="J16" t="str">
        <f t="shared" si="1"/>
        <v>getImagesFromGSV('38.734854,-9.1790837', 'C:\\Projetos\\Mestrado\\masters_thesis\\workspace\\gsv\\images\\survey',46,'segment15')</v>
      </c>
      <c r="K16" t="str">
        <f t="shared" si="2"/>
        <v>INSERT INTO Routes([ImageUrl],[Lat],[Lon]) VALUES ('img/segment15.jpg','38.734854','-9.1790837')</v>
      </c>
    </row>
    <row r="17" spans="1:11" x14ac:dyDescent="0.25">
      <c r="A17" t="s">
        <v>45</v>
      </c>
      <c r="B17" t="s">
        <v>46</v>
      </c>
      <c r="C17">
        <v>167</v>
      </c>
      <c r="D17" t="s">
        <v>111</v>
      </c>
      <c r="E17" t="s">
        <v>7</v>
      </c>
      <c r="F17" t="s">
        <v>8</v>
      </c>
      <c r="G17" t="s">
        <v>8</v>
      </c>
      <c r="H17" t="str">
        <f t="shared" si="0"/>
        <v>segment16</v>
      </c>
      <c r="I17">
        <v>16</v>
      </c>
      <c r="J17" t="str">
        <f t="shared" si="1"/>
        <v>getImagesFromGSV('38.7456788,-9.1476093', 'C:\\Projetos\\Mestrado\\masters_thesis\\workspace\\gsv\\images\\survey',167,'segment16')</v>
      </c>
      <c r="K17" t="str">
        <f t="shared" si="2"/>
        <v>INSERT INTO Routes([ImageUrl],[Lat],[Lon]) VALUES ('img/segment16.jpg','38.7456788','-9.1476093')</v>
      </c>
    </row>
    <row r="18" spans="1:11" x14ac:dyDescent="0.25">
      <c r="A18" t="s">
        <v>47</v>
      </c>
      <c r="B18" t="s">
        <v>48</v>
      </c>
      <c r="C18">
        <v>158</v>
      </c>
      <c r="D18" t="s">
        <v>10</v>
      </c>
      <c r="E18" t="s">
        <v>7</v>
      </c>
      <c r="F18" t="s">
        <v>8</v>
      </c>
      <c r="G18" t="s">
        <v>9</v>
      </c>
      <c r="H18" t="str">
        <f t="shared" si="0"/>
        <v>segment17</v>
      </c>
      <c r="I18">
        <v>17</v>
      </c>
      <c r="J18" t="str">
        <f t="shared" si="1"/>
        <v>getImagesFromGSV('38.7278434,-9.1891716', 'C:\\Projetos\\Mestrado\\masters_thesis\\workspace\\gsv\\images\\survey',158,'segment17')</v>
      </c>
      <c r="K18" t="str">
        <f t="shared" si="2"/>
        <v>INSERT INTO Routes([ImageUrl],[Lat],[Lon]) VALUES ('img/segment17.jpg','38.7278434','-9.1891716')</v>
      </c>
    </row>
    <row r="19" spans="1:11" x14ac:dyDescent="0.25">
      <c r="A19" t="s">
        <v>49</v>
      </c>
      <c r="B19" t="s">
        <v>50</v>
      </c>
      <c r="C19">
        <v>290</v>
      </c>
      <c r="D19" t="s">
        <v>111</v>
      </c>
      <c r="E19" t="s">
        <v>7</v>
      </c>
      <c r="F19" t="s">
        <v>8</v>
      </c>
      <c r="G19" t="s">
        <v>9</v>
      </c>
      <c r="H19" t="str">
        <f t="shared" si="0"/>
        <v>segment18</v>
      </c>
      <c r="I19">
        <v>18</v>
      </c>
      <c r="J19" t="str">
        <f t="shared" si="1"/>
        <v>getImagesFromGSV('38.7576729,-9.1092031', 'C:\\Projetos\\Mestrado\\masters_thesis\\workspace\\gsv\\images\\survey',290,'segment18')</v>
      </c>
      <c r="K19" t="str">
        <f t="shared" si="2"/>
        <v>INSERT INTO Routes([ImageUrl],[Lat],[Lon]) VALUES ('img/segment18.jpg','38.7576729','-9.1092031')</v>
      </c>
    </row>
    <row r="20" spans="1:11" x14ac:dyDescent="0.25">
      <c r="A20" t="s">
        <v>51</v>
      </c>
      <c r="B20" t="s">
        <v>76</v>
      </c>
      <c r="C20">
        <v>182</v>
      </c>
      <c r="D20" t="s">
        <v>10</v>
      </c>
      <c r="E20" t="s">
        <v>23</v>
      </c>
      <c r="F20" t="s">
        <v>8</v>
      </c>
      <c r="G20" t="s">
        <v>9</v>
      </c>
      <c r="H20" t="str">
        <f t="shared" si="0"/>
        <v>segment19</v>
      </c>
      <c r="I20">
        <v>19</v>
      </c>
      <c r="J20" t="str">
        <f t="shared" si="1"/>
        <v>getImagesFromGSV('38.7675126,-9.0959367', 'C:\\Projetos\\Mestrado\\masters_thesis\\workspace\\gsv\\images\\survey',182,'segment19')</v>
      </c>
      <c r="K20" t="str">
        <f t="shared" si="2"/>
        <v>INSERT INTO Routes([ImageUrl],[Lat],[Lon]) VALUES ('img/segment19.jpg','38.7675126','-9.0959367')</v>
      </c>
    </row>
    <row r="21" spans="1:11" x14ac:dyDescent="0.25">
      <c r="A21" t="s">
        <v>52</v>
      </c>
      <c r="B21" t="s">
        <v>53</v>
      </c>
      <c r="C21">
        <v>108</v>
      </c>
      <c r="D21" t="s">
        <v>111</v>
      </c>
      <c r="E21" t="s">
        <v>7</v>
      </c>
      <c r="F21" t="s">
        <v>8</v>
      </c>
      <c r="G21" t="s">
        <v>8</v>
      </c>
      <c r="H21" t="str">
        <f t="shared" si="0"/>
        <v>segment20</v>
      </c>
      <c r="I21">
        <v>20</v>
      </c>
      <c r="J21" t="str">
        <f t="shared" si="1"/>
        <v>getImagesFromGSV('38.7621002,-9.1244256', 'C:\\Projetos\\Mestrado\\masters_thesis\\workspace\\gsv\\images\\survey',108,'segment20')</v>
      </c>
      <c r="K21" t="str">
        <f t="shared" si="2"/>
        <v>INSERT INTO Routes([ImageUrl],[Lat],[Lon]) VALUES ('img/segment20.jpg','38.7621002','-9.1244256')</v>
      </c>
    </row>
    <row r="22" spans="1:11" x14ac:dyDescent="0.25">
      <c r="A22" t="s">
        <v>54</v>
      </c>
      <c r="B22" t="s">
        <v>55</v>
      </c>
      <c r="C22">
        <v>4</v>
      </c>
      <c r="D22" t="s">
        <v>111</v>
      </c>
      <c r="E22" t="s">
        <v>7</v>
      </c>
      <c r="F22" t="s">
        <v>8</v>
      </c>
      <c r="G22" t="s">
        <v>9</v>
      </c>
      <c r="H22" t="str">
        <f t="shared" si="0"/>
        <v>segment21</v>
      </c>
      <c r="I22">
        <v>21</v>
      </c>
      <c r="J22" t="str">
        <f t="shared" si="1"/>
        <v>getImagesFromGSV('38.7278232,-9.1347351', 'C:\\Projetos\\Mestrado\\masters_thesis\\workspace\\gsv\\images\\survey',4,'segment21')</v>
      </c>
      <c r="K22" t="str">
        <f t="shared" si="2"/>
        <v>INSERT INTO Routes([ImageUrl],[Lat],[Lon]) VALUES ('img/segment21.jpg','38.7278232','-9.1347351')</v>
      </c>
    </row>
    <row r="23" spans="1:11" x14ac:dyDescent="0.25">
      <c r="A23" t="s">
        <v>56</v>
      </c>
      <c r="B23" t="s">
        <v>57</v>
      </c>
      <c r="C23">
        <v>3</v>
      </c>
      <c r="D23" t="s">
        <v>10</v>
      </c>
      <c r="E23" t="s">
        <v>7</v>
      </c>
      <c r="F23" t="s">
        <v>8</v>
      </c>
      <c r="G23" t="s">
        <v>9</v>
      </c>
      <c r="H23" t="str">
        <f t="shared" si="0"/>
        <v>segment22</v>
      </c>
      <c r="I23">
        <v>22</v>
      </c>
      <c r="J23" t="str">
        <f t="shared" si="1"/>
        <v>getImagesFromGSV('38.7365889,-9.133834', 'C:\\Projetos\\Mestrado\\masters_thesis\\workspace\\gsv\\images\\survey',3,'segment22')</v>
      </c>
      <c r="K23" t="str">
        <f t="shared" si="2"/>
        <v>INSERT INTO Routes([ImageUrl],[Lat],[Lon]) VALUES ('img/segment22.jpg','38.7365889','-9.133834')</v>
      </c>
    </row>
    <row r="24" spans="1:11" x14ac:dyDescent="0.25">
      <c r="A24" t="s">
        <v>58</v>
      </c>
      <c r="B24" t="s">
        <v>59</v>
      </c>
      <c r="C24">
        <v>85</v>
      </c>
      <c r="D24" t="s">
        <v>10</v>
      </c>
      <c r="E24" t="s">
        <v>23</v>
      </c>
      <c r="F24" t="s">
        <v>8</v>
      </c>
      <c r="G24" t="s">
        <v>8</v>
      </c>
      <c r="H24" t="str">
        <f t="shared" si="0"/>
        <v>segment23</v>
      </c>
      <c r="I24">
        <v>23</v>
      </c>
      <c r="J24" t="str">
        <f t="shared" si="1"/>
        <v>getImagesFromGSV('38.7095414,-9.1497569', 'C:\\Projetos\\Mestrado\\masters_thesis\\workspace\\gsv\\images\\survey',85,'segment23')</v>
      </c>
      <c r="K24" t="str">
        <f t="shared" si="2"/>
        <v>INSERT INTO Routes([ImageUrl],[Lat],[Lon]) VALUES ('img/segment23.jpg','38.7095414','-9.1497569')</v>
      </c>
    </row>
    <row r="25" spans="1:11" x14ac:dyDescent="0.25">
      <c r="A25" t="s">
        <v>60</v>
      </c>
      <c r="B25" t="s">
        <v>61</v>
      </c>
      <c r="C25">
        <v>104</v>
      </c>
      <c r="D25" t="s">
        <v>10</v>
      </c>
      <c r="E25" t="s">
        <v>23</v>
      </c>
      <c r="F25" t="s">
        <v>8</v>
      </c>
      <c r="G25" t="s">
        <v>8</v>
      </c>
      <c r="H25" t="str">
        <f t="shared" si="0"/>
        <v>segment24</v>
      </c>
      <c r="I25">
        <v>24</v>
      </c>
      <c r="J25" t="str">
        <f t="shared" si="1"/>
        <v>getImagesFromGSV('38.7098603,-9.1482613', 'C:\\Projetos\\Mestrado\\masters_thesis\\workspace\\gsv\\images\\survey',104,'segment24')</v>
      </c>
      <c r="K25" t="str">
        <f t="shared" si="2"/>
        <v>INSERT INTO Routes([ImageUrl],[Lat],[Lon]) VALUES ('img/segment24.jpg','38.7098603','-9.1482613')</v>
      </c>
    </row>
    <row r="26" spans="1:11" x14ac:dyDescent="0.25">
      <c r="A26" t="s">
        <v>62</v>
      </c>
      <c r="B26" t="s">
        <v>63</v>
      </c>
      <c r="C26">
        <v>270</v>
      </c>
      <c r="D26" t="s">
        <v>111</v>
      </c>
      <c r="E26" t="s">
        <v>7</v>
      </c>
      <c r="F26" t="s">
        <v>9</v>
      </c>
      <c r="G26" t="s">
        <v>9</v>
      </c>
      <c r="H26" t="str">
        <f t="shared" si="0"/>
        <v>segment25</v>
      </c>
      <c r="I26">
        <v>25</v>
      </c>
      <c r="J26" t="str">
        <f t="shared" si="1"/>
        <v>getImagesFromGSV('38.7036251,-9.1678404', 'C:\\Projetos\\Mestrado\\masters_thesis\\workspace\\gsv\\images\\survey',270,'segment25')</v>
      </c>
      <c r="K26" t="str">
        <f t="shared" si="2"/>
        <v>INSERT INTO Routes([ImageUrl],[Lat],[Lon]) VALUES ('img/segment25.jpg','38.7036251','-9.1678404')</v>
      </c>
    </row>
    <row r="27" spans="1:11" x14ac:dyDescent="0.25">
      <c r="A27" t="s">
        <v>64</v>
      </c>
      <c r="B27" t="s">
        <v>65</v>
      </c>
      <c r="C27">
        <v>72</v>
      </c>
      <c r="D27" t="s">
        <v>111</v>
      </c>
      <c r="E27" t="s">
        <v>7</v>
      </c>
      <c r="F27" t="s">
        <v>9</v>
      </c>
      <c r="G27" t="s">
        <v>9</v>
      </c>
      <c r="H27" t="str">
        <f t="shared" si="0"/>
        <v>segment26</v>
      </c>
      <c r="I27">
        <v>26</v>
      </c>
      <c r="J27" t="str">
        <f t="shared" si="1"/>
        <v>getImagesFromGSV('38.7041237,-9.1609235', 'C:\\Projetos\\Mestrado\\masters_thesis\\workspace\\gsv\\images\\survey',72,'segment26')</v>
      </c>
      <c r="K27" t="str">
        <f t="shared" si="2"/>
        <v>INSERT INTO Routes([ImageUrl],[Lat],[Lon]) VALUES ('img/segment26.jpg','38.7041237','-9.1609235')</v>
      </c>
    </row>
    <row r="28" spans="1:11" x14ac:dyDescent="0.25">
      <c r="A28" t="s">
        <v>66</v>
      </c>
      <c r="B28" t="s">
        <v>67</v>
      </c>
      <c r="C28">
        <v>90</v>
      </c>
      <c r="D28" t="s">
        <v>111</v>
      </c>
      <c r="E28" t="s">
        <v>7</v>
      </c>
      <c r="F28" t="s">
        <v>9</v>
      </c>
      <c r="G28" t="s">
        <v>8</v>
      </c>
      <c r="H28" t="str">
        <f t="shared" si="0"/>
        <v>segment27</v>
      </c>
      <c r="I28">
        <v>27</v>
      </c>
      <c r="J28" t="str">
        <f t="shared" si="1"/>
        <v>getImagesFromGSV('38.7063838,-9.1515526', 'C:\\Projetos\\Mestrado\\masters_thesis\\workspace\\gsv\\images\\survey',90,'segment27')</v>
      </c>
      <c r="K28" t="str">
        <f t="shared" si="2"/>
        <v>INSERT INTO Routes([ImageUrl],[Lat],[Lon]) VALUES ('img/segment27.jpg','38.7063838','-9.1515526')</v>
      </c>
    </row>
    <row r="29" spans="1:11" x14ac:dyDescent="0.25">
      <c r="A29" t="s">
        <v>68</v>
      </c>
      <c r="B29" t="s">
        <v>69</v>
      </c>
      <c r="C29">
        <v>118</v>
      </c>
      <c r="D29" t="s">
        <v>10</v>
      </c>
      <c r="E29" t="s">
        <v>13</v>
      </c>
      <c r="F29" t="s">
        <v>8</v>
      </c>
      <c r="G29" t="s">
        <v>8</v>
      </c>
      <c r="H29" t="str">
        <f t="shared" si="0"/>
        <v>segment28</v>
      </c>
      <c r="I29">
        <v>28</v>
      </c>
      <c r="J29" t="str">
        <f t="shared" si="1"/>
        <v>getImagesFromGSV('38.7369971,-9.1901875', 'C:\\Projetos\\Mestrado\\masters_thesis\\workspace\\gsv\\images\\survey',118,'segment28')</v>
      </c>
      <c r="K29" t="str">
        <f t="shared" si="2"/>
        <v>INSERT INTO Routes([ImageUrl],[Lat],[Lon]) VALUES ('img/segment28.jpg','38.7369971','-9.1901875')</v>
      </c>
    </row>
    <row r="30" spans="1:11" x14ac:dyDescent="0.25">
      <c r="A30" t="s">
        <v>70</v>
      </c>
      <c r="B30" t="s">
        <v>71</v>
      </c>
      <c r="C30">
        <v>190</v>
      </c>
      <c r="D30" t="s">
        <v>10</v>
      </c>
      <c r="E30" t="s">
        <v>13</v>
      </c>
      <c r="F30" t="s">
        <v>8</v>
      </c>
      <c r="G30" t="s">
        <v>8</v>
      </c>
      <c r="H30" t="str">
        <f t="shared" si="0"/>
        <v>segment29</v>
      </c>
      <c r="I30">
        <v>29</v>
      </c>
      <c r="J30" t="str">
        <f t="shared" si="1"/>
        <v>getImagesFromGSV('38.7119099,-9.2210069', 'C:\\Projetos\\Mestrado\\masters_thesis\\workspace\\gsv\\images\\survey',190,'segment29')</v>
      </c>
      <c r="K30" t="str">
        <f t="shared" si="2"/>
        <v>INSERT INTO Routes([ImageUrl],[Lat],[Lon]) VALUES ('img/segment29.jpg','38.7119099','-9.2210069')</v>
      </c>
    </row>
    <row r="31" spans="1:11" x14ac:dyDescent="0.25">
      <c r="A31" t="s">
        <v>72</v>
      </c>
      <c r="B31" t="s">
        <v>73</v>
      </c>
      <c r="C31">
        <v>195</v>
      </c>
      <c r="D31" t="s">
        <v>10</v>
      </c>
      <c r="E31" t="s">
        <v>13</v>
      </c>
      <c r="F31" t="s">
        <v>8</v>
      </c>
      <c r="G31" t="s">
        <v>8</v>
      </c>
      <c r="H31" t="str">
        <f t="shared" si="0"/>
        <v>segment30</v>
      </c>
      <c r="I31">
        <v>30</v>
      </c>
      <c r="J31" t="str">
        <f t="shared" si="1"/>
        <v>getImagesFromGSV('38.7040146,-9.224963', 'C:\\Projetos\\Mestrado\\masters_thesis\\workspace\\gsv\\images\\survey',195,'segment30')</v>
      </c>
      <c r="K31" t="str">
        <f t="shared" si="2"/>
        <v>INSERT INTO Routes([ImageUrl],[Lat],[Lon]) VALUES ('img/segment30.jpg','38.7040146','-9.224963')</v>
      </c>
    </row>
    <row r="32" spans="1:11" x14ac:dyDescent="0.25">
      <c r="A32" t="s">
        <v>74</v>
      </c>
      <c r="B32" t="s">
        <v>75</v>
      </c>
      <c r="C32">
        <v>180</v>
      </c>
      <c r="D32" t="s">
        <v>10</v>
      </c>
      <c r="E32" t="s">
        <v>23</v>
      </c>
      <c r="F32" t="s">
        <v>8</v>
      </c>
      <c r="G32" t="s">
        <v>9</v>
      </c>
      <c r="H32" t="str">
        <f t="shared" si="0"/>
        <v>segment31</v>
      </c>
      <c r="I32">
        <v>31</v>
      </c>
      <c r="J32" t="str">
        <f t="shared" si="1"/>
        <v>getImagesFromGSV('38.7743834,-9.0950229', 'C:\\Projetos\\Mestrado\\masters_thesis\\workspace\\gsv\\images\\survey',180,'segment31')</v>
      </c>
      <c r="K32" t="str">
        <f t="shared" si="2"/>
        <v>INSERT INTO Routes([ImageUrl],[Lat],[Lon]) VALUES ('img/segment31.jpg','38.7743834','-9.0950229')</v>
      </c>
    </row>
    <row r="33" spans="1:11" x14ac:dyDescent="0.25">
      <c r="A33" t="s">
        <v>77</v>
      </c>
      <c r="B33" t="s">
        <v>78</v>
      </c>
      <c r="C33">
        <v>8</v>
      </c>
      <c r="D33" t="s">
        <v>10</v>
      </c>
      <c r="E33" t="s">
        <v>7</v>
      </c>
      <c r="F33" t="s">
        <v>8</v>
      </c>
      <c r="G33" t="s">
        <v>9</v>
      </c>
      <c r="H33" t="str">
        <f t="shared" si="0"/>
        <v>segment32</v>
      </c>
      <c r="I33">
        <v>32</v>
      </c>
      <c r="J33" t="str">
        <f t="shared" si="1"/>
        <v>getImagesFromGSV('38.7759351,-9.0950111', 'C:\\Projetos\\Mestrado\\masters_thesis\\workspace\\gsv\\images\\survey',8,'segment32')</v>
      </c>
      <c r="K33" t="str">
        <f t="shared" si="2"/>
        <v>INSERT INTO Routes([ImageUrl],[Lat],[Lon]) VALUES ('img/segment32.jpg','38.7759351','-9.0950111')</v>
      </c>
    </row>
    <row r="34" spans="1:11" x14ac:dyDescent="0.25">
      <c r="A34" t="s">
        <v>79</v>
      </c>
      <c r="B34" t="s">
        <v>80</v>
      </c>
      <c r="C34">
        <v>192</v>
      </c>
      <c r="D34" t="s">
        <v>10</v>
      </c>
      <c r="E34" t="s">
        <v>23</v>
      </c>
      <c r="F34" t="s">
        <v>8</v>
      </c>
      <c r="G34" t="s">
        <v>8</v>
      </c>
      <c r="H34" t="str">
        <f t="shared" si="0"/>
        <v>segment33</v>
      </c>
      <c r="I34">
        <v>33</v>
      </c>
      <c r="J34" t="str">
        <f t="shared" si="1"/>
        <v>getImagesFromGSV('38.7384112,-9.1053149', 'C:\\Projetos\\Mestrado\\masters_thesis\\workspace\\gsv\\images\\survey',192,'segment33')</v>
      </c>
      <c r="K34" t="str">
        <f t="shared" si="2"/>
        <v>INSERT INTO Routes([ImageUrl],[Lat],[Lon]) VALUES ('img/segment33.jpg','38.7384112','-9.1053149')</v>
      </c>
    </row>
    <row r="35" spans="1:11" x14ac:dyDescent="0.25">
      <c r="A35" t="s">
        <v>81</v>
      </c>
      <c r="B35" t="s">
        <v>82</v>
      </c>
      <c r="C35">
        <v>194</v>
      </c>
      <c r="D35" t="s">
        <v>10</v>
      </c>
      <c r="E35" t="s">
        <v>7</v>
      </c>
      <c r="F35" t="s">
        <v>9</v>
      </c>
      <c r="G35" t="s">
        <v>8</v>
      </c>
      <c r="H35" t="str">
        <f t="shared" si="0"/>
        <v>segment34</v>
      </c>
      <c r="I35">
        <v>34</v>
      </c>
      <c r="J35" t="str">
        <f t="shared" si="1"/>
        <v>getImagesFromGSV('38.7407406,-9.1026685', 'C:\\Projetos\\Mestrado\\masters_thesis\\workspace\\gsv\\images\\survey',194,'segment34')</v>
      </c>
      <c r="K35" t="str">
        <f t="shared" si="2"/>
        <v>INSERT INTO Routes([ImageUrl],[Lat],[Lon]) VALUES ('img/segment34.jpg','38.7407406','-9.1026685')</v>
      </c>
    </row>
    <row r="36" spans="1:11" x14ac:dyDescent="0.25">
      <c r="A36" t="s">
        <v>83</v>
      </c>
      <c r="B36" t="s">
        <v>84</v>
      </c>
      <c r="C36">
        <v>218</v>
      </c>
      <c r="D36" t="s">
        <v>10</v>
      </c>
      <c r="E36" t="s">
        <v>7</v>
      </c>
      <c r="F36" t="s">
        <v>9</v>
      </c>
      <c r="G36" t="s">
        <v>8</v>
      </c>
      <c r="H36" t="str">
        <f t="shared" si="0"/>
        <v>segment35</v>
      </c>
      <c r="I36">
        <v>35</v>
      </c>
      <c r="J36" t="str">
        <f t="shared" si="1"/>
        <v>getImagesFromGSV('38.7322759,-9.1062791', 'C:\\Projetos\\Mestrado\\masters_thesis\\workspace\\gsv\\images\\survey',218,'segment35')</v>
      </c>
      <c r="K36" t="str">
        <f t="shared" si="2"/>
        <v>INSERT INTO Routes([ImageUrl],[Lat],[Lon]) VALUES ('img/segment35.jpg','38.7322759','-9.1062791')</v>
      </c>
    </row>
    <row r="37" spans="1:11" x14ac:dyDescent="0.25">
      <c r="A37" t="s">
        <v>85</v>
      </c>
      <c r="B37" t="s">
        <v>86</v>
      </c>
      <c r="C37">
        <v>175</v>
      </c>
      <c r="D37" t="s">
        <v>10</v>
      </c>
      <c r="E37" t="s">
        <v>7</v>
      </c>
      <c r="F37" t="s">
        <v>9</v>
      </c>
      <c r="G37" t="s">
        <v>8</v>
      </c>
      <c r="H37" t="str">
        <f t="shared" si="0"/>
        <v>segment36</v>
      </c>
      <c r="I37">
        <v>36</v>
      </c>
      <c r="J37" t="str">
        <f t="shared" si="1"/>
        <v>getImagesFromGSV('38.7314878,-9.1099077', 'C:\\Projetos\\Mestrado\\masters_thesis\\workspace\\gsv\\images\\survey',175,'segment36')</v>
      </c>
      <c r="K37" t="str">
        <f t="shared" si="2"/>
        <v>INSERT INTO Routes([ImageUrl],[Lat],[Lon]) VALUES ('img/segment36.jpg','38.7314878','-9.1099077')</v>
      </c>
    </row>
    <row r="38" spans="1:11" x14ac:dyDescent="0.25">
      <c r="A38" t="s">
        <v>87</v>
      </c>
      <c r="B38" t="s">
        <v>88</v>
      </c>
      <c r="C38">
        <v>218</v>
      </c>
      <c r="D38" t="s">
        <v>10</v>
      </c>
      <c r="E38" t="s">
        <v>7</v>
      </c>
      <c r="F38" t="s">
        <v>9</v>
      </c>
      <c r="G38" t="s">
        <v>8</v>
      </c>
      <c r="H38" t="str">
        <f t="shared" si="0"/>
        <v>segment37</v>
      </c>
      <c r="I38">
        <v>37</v>
      </c>
      <c r="J38" t="str">
        <f t="shared" si="1"/>
        <v>getImagesFromGSV('38.7254925,-9.1129857', 'C:\\Projetos\\Mestrado\\masters_thesis\\workspace\\gsv\\images\\survey',218,'segment37')</v>
      </c>
      <c r="K38" t="str">
        <f t="shared" si="2"/>
        <v>INSERT INTO Routes([ImageUrl],[Lat],[Lon]) VALUES ('img/segment37.jpg','38.7254925','-9.1129857')</v>
      </c>
    </row>
    <row r="39" spans="1:11" x14ac:dyDescent="0.25">
      <c r="A39" t="s">
        <v>89</v>
      </c>
      <c r="B39" t="s">
        <v>90</v>
      </c>
      <c r="C39">
        <v>62</v>
      </c>
      <c r="D39" t="s">
        <v>10</v>
      </c>
      <c r="E39" t="s">
        <v>7</v>
      </c>
      <c r="F39" t="s">
        <v>9</v>
      </c>
      <c r="G39" t="s">
        <v>8</v>
      </c>
      <c r="H39" t="str">
        <f t="shared" si="0"/>
        <v>segment38</v>
      </c>
      <c r="I39">
        <v>38</v>
      </c>
      <c r="J39" t="str">
        <f t="shared" si="1"/>
        <v>getImagesFromGSV('38.711569,-9.1270784', 'C:\\Projetos\\Mestrado\\masters_thesis\\workspace\\gsv\\images\\survey',62,'segment38')</v>
      </c>
      <c r="K39" t="str">
        <f t="shared" si="2"/>
        <v>INSERT INTO Routes([ImageUrl],[Lat],[Lon]) VALUES ('img/segment38.jpg','38.711569','-9.1270784')</v>
      </c>
    </row>
    <row r="40" spans="1:11" x14ac:dyDescent="0.25">
      <c r="A40" t="s">
        <v>91</v>
      </c>
      <c r="B40" t="s">
        <v>92</v>
      </c>
      <c r="C40">
        <v>150</v>
      </c>
      <c r="D40" t="s">
        <v>10</v>
      </c>
      <c r="E40" t="s">
        <v>7</v>
      </c>
      <c r="F40" t="s">
        <v>9</v>
      </c>
      <c r="G40" t="s">
        <v>8</v>
      </c>
      <c r="H40" t="str">
        <f t="shared" si="0"/>
        <v>segment39</v>
      </c>
      <c r="I40">
        <v>39</v>
      </c>
      <c r="J40" t="str">
        <f t="shared" si="1"/>
        <v>getImagesFromGSV('38.7113037,-9.127432', 'C:\\Projetos\\Mestrado\\masters_thesis\\workspace\\gsv\\images\\survey',150,'segment39')</v>
      </c>
      <c r="K40" t="str">
        <f t="shared" si="2"/>
        <v>INSERT INTO Routes([ImageUrl],[Lat],[Lon]) VALUES ('img/segment39.jpg','38.7113037','-9.127432')</v>
      </c>
    </row>
    <row r="41" spans="1:11" x14ac:dyDescent="0.25">
      <c r="A41" t="s">
        <v>93</v>
      </c>
      <c r="B41" t="s">
        <v>94</v>
      </c>
      <c r="C41">
        <v>65</v>
      </c>
      <c r="D41" t="s">
        <v>111</v>
      </c>
      <c r="E41" t="s">
        <v>7</v>
      </c>
      <c r="F41" t="s">
        <v>9</v>
      </c>
      <c r="G41" t="s">
        <v>9</v>
      </c>
      <c r="H41" t="str">
        <f t="shared" si="0"/>
        <v>segment40</v>
      </c>
      <c r="I41">
        <v>40</v>
      </c>
      <c r="J41" t="str">
        <f t="shared" si="1"/>
        <v>getImagesFromGSV('38.7088393,-9.1302559', 'C:\\Projetos\\Mestrado\\masters_thesis\\workspace\\gsv\\images\\survey',65,'segment40')</v>
      </c>
      <c r="K41" t="str">
        <f t="shared" si="2"/>
        <v>INSERT INTO Routes([ImageUrl],[Lat],[Lon]) VALUES ('img/segment40.jpg','38.7088393','-9.1302559')</v>
      </c>
    </row>
    <row r="42" spans="1:11" x14ac:dyDescent="0.25">
      <c r="A42" t="s">
        <v>95</v>
      </c>
      <c r="B42" t="s">
        <v>96</v>
      </c>
      <c r="C42">
        <v>260</v>
      </c>
      <c r="D42" t="s">
        <v>111</v>
      </c>
      <c r="E42" t="s">
        <v>23</v>
      </c>
      <c r="F42" t="s">
        <v>8</v>
      </c>
      <c r="G42" t="s">
        <v>8</v>
      </c>
      <c r="H42" t="str">
        <f t="shared" si="0"/>
        <v>segment41</v>
      </c>
      <c r="I42">
        <v>41</v>
      </c>
      <c r="J42" t="str">
        <f t="shared" si="1"/>
        <v>getImagesFromGSV('38.7074052,-9.1339226', 'C:\\Projetos\\Mestrado\\masters_thesis\\workspace\\gsv\\images\\survey',260,'segment41')</v>
      </c>
      <c r="K42" t="str">
        <f t="shared" si="2"/>
        <v>INSERT INTO Routes([ImageUrl],[Lat],[Lon]) VALUES ('img/segment41.jpg','38.7074052','-9.1339226')</v>
      </c>
    </row>
    <row r="44" spans="1:11" x14ac:dyDescent="0.25">
      <c r="A44" t="s">
        <v>97</v>
      </c>
      <c r="B44" t="s">
        <v>98</v>
      </c>
      <c r="C44">
        <v>360</v>
      </c>
      <c r="D44" t="s">
        <v>10</v>
      </c>
      <c r="E44" t="s">
        <v>7</v>
      </c>
      <c r="F44" t="s">
        <v>9</v>
      </c>
      <c r="G44" t="s">
        <v>9</v>
      </c>
      <c r="H44" t="str">
        <f t="shared" si="0"/>
        <v>segment43</v>
      </c>
      <c r="I44">
        <v>43</v>
      </c>
      <c r="J44" t="str">
        <f t="shared" si="1"/>
        <v>getImagesFromGSV('38.7578718,-9.0963819', 'C:\\Projetos\\Mestrado\\masters_thesis\\workspace\\gsv\\images\\survey',360,'segment43')</v>
      </c>
      <c r="K44" t="str">
        <f t="shared" si="2"/>
        <v>INSERT INTO Routes([ImageUrl],[Lat],[Lon]) VALUES ('img/segment43.jpg','38.7578718','-9.0963819')</v>
      </c>
    </row>
    <row r="45" spans="1:11" x14ac:dyDescent="0.25">
      <c r="A45" t="s">
        <v>99</v>
      </c>
      <c r="B45" t="s">
        <v>100</v>
      </c>
      <c r="C45">
        <v>360</v>
      </c>
      <c r="D45" t="s">
        <v>10</v>
      </c>
      <c r="E45" t="s">
        <v>23</v>
      </c>
      <c r="F45" t="s">
        <v>8</v>
      </c>
      <c r="G45" t="s">
        <v>9</v>
      </c>
      <c r="H45" t="str">
        <f t="shared" si="0"/>
        <v>segment44</v>
      </c>
      <c r="I45">
        <v>44</v>
      </c>
      <c r="J45" t="str">
        <f t="shared" si="1"/>
        <v>getImagesFromGSV('38.7621486,-9.0960246', 'C:\\Projetos\\Mestrado\\masters_thesis\\workspace\\gsv\\images\\survey',360,'segment44')</v>
      </c>
      <c r="K45" t="str">
        <f t="shared" si="2"/>
        <v>INSERT INTO Routes([ImageUrl],[Lat],[Lon]) VALUES ('img/segment44.jpg','38.7621486','-9.0960246')</v>
      </c>
    </row>
    <row r="46" spans="1:11" x14ac:dyDescent="0.25">
      <c r="A46" t="s">
        <v>101</v>
      </c>
      <c r="B46" t="s">
        <v>102</v>
      </c>
      <c r="C46">
        <v>10</v>
      </c>
      <c r="D46" t="s">
        <v>10</v>
      </c>
      <c r="E46" t="s">
        <v>7</v>
      </c>
      <c r="F46" t="s">
        <v>8</v>
      </c>
      <c r="G46" t="s">
        <v>9</v>
      </c>
      <c r="H46" t="str">
        <f t="shared" si="0"/>
        <v>segment45</v>
      </c>
      <c r="I46">
        <v>45</v>
      </c>
      <c r="J46" t="str">
        <f t="shared" si="1"/>
        <v>getImagesFromGSV('38.7592498,-9.1116086', 'C:\\Projetos\\Mestrado\\masters_thesis\\workspace\\gsv\\images\\survey',10,'segment45')</v>
      </c>
      <c r="K46" t="str">
        <f t="shared" si="2"/>
        <v>INSERT INTO Routes([ImageUrl],[Lat],[Lon]) VALUES ('img/segment45.jpg','38.7592498','-9.1116086')</v>
      </c>
    </row>
    <row r="47" spans="1:11" x14ac:dyDescent="0.25">
      <c r="A47" t="s">
        <v>103</v>
      </c>
      <c r="B47" t="s">
        <v>104</v>
      </c>
      <c r="C47">
        <v>290</v>
      </c>
      <c r="D47" t="s">
        <v>111</v>
      </c>
      <c r="E47" t="s">
        <v>7</v>
      </c>
      <c r="F47" t="s">
        <v>8</v>
      </c>
      <c r="G47" t="s">
        <v>9</v>
      </c>
      <c r="H47" t="str">
        <f t="shared" si="0"/>
        <v>segment46</v>
      </c>
      <c r="I47">
        <v>46</v>
      </c>
      <c r="J47" t="str">
        <f t="shared" si="1"/>
        <v>getImagesFromGSV('38.759694,-9.1158574', 'C:\\Projetos\\Mestrado\\masters_thesis\\workspace\\gsv\\images\\survey',290,'segment46')</v>
      </c>
      <c r="K47" t="str">
        <f t="shared" si="2"/>
        <v>INSERT INTO Routes([ImageUrl],[Lat],[Lon]) VALUES ('img/segment46.jpg','38.759694','-9.1158574')</v>
      </c>
    </row>
    <row r="48" spans="1:11" x14ac:dyDescent="0.25">
      <c r="A48" t="s">
        <v>105</v>
      </c>
      <c r="B48" t="s">
        <v>106</v>
      </c>
      <c r="C48">
        <v>265</v>
      </c>
      <c r="D48" t="s">
        <v>10</v>
      </c>
      <c r="E48" t="s">
        <v>13</v>
      </c>
      <c r="F48" t="s">
        <v>8</v>
      </c>
      <c r="G48" t="s">
        <v>8</v>
      </c>
      <c r="H48" t="str">
        <f t="shared" si="0"/>
        <v>segment47</v>
      </c>
      <c r="I48">
        <v>47</v>
      </c>
      <c r="J48" t="str">
        <f t="shared" si="1"/>
        <v>getImagesFromGSV('38.7124025,-9.218556', 'C:\\Projetos\\Mestrado\\masters_thesis\\workspace\\gsv\\images\\survey',265,'segment47')</v>
      </c>
      <c r="K48" t="str">
        <f t="shared" si="2"/>
        <v>INSERT INTO Routes([ImageUrl],[Lat],[Lon]) VALUES ('img/segment47.jpg','38.7124025','-9.218556')</v>
      </c>
    </row>
    <row r="49" spans="1:11" x14ac:dyDescent="0.25">
      <c r="A49" t="s">
        <v>107</v>
      </c>
      <c r="B49" t="s">
        <v>108</v>
      </c>
      <c r="C49">
        <v>322</v>
      </c>
      <c r="D49" t="s">
        <v>10</v>
      </c>
      <c r="E49" t="s">
        <v>13</v>
      </c>
      <c r="F49" t="s">
        <v>8</v>
      </c>
      <c r="G49" t="s">
        <v>8</v>
      </c>
      <c r="H49" t="str">
        <f t="shared" si="0"/>
        <v>segment48</v>
      </c>
      <c r="I49">
        <v>48</v>
      </c>
      <c r="J49" t="str">
        <f t="shared" si="1"/>
        <v>getImagesFromGSV('38.7126038,-9.2191002', 'C:\\Projetos\\Mestrado\\masters_thesis\\workspace\\gsv\\images\\survey',322,'segment48')</v>
      </c>
      <c r="K49" t="str">
        <f t="shared" si="2"/>
        <v>INSERT INTO Routes([ImageUrl],[Lat],[Lon]) VALUES ('img/segment48.jpg','38.7126038','-9.2191002')</v>
      </c>
    </row>
    <row r="50" spans="1:11" x14ac:dyDescent="0.25">
      <c r="A50" t="s">
        <v>109</v>
      </c>
      <c r="B50" t="s">
        <v>110</v>
      </c>
      <c r="C50">
        <v>138</v>
      </c>
      <c r="D50" t="s">
        <v>10</v>
      </c>
      <c r="E50" t="s">
        <v>13</v>
      </c>
      <c r="F50" t="s">
        <v>8</v>
      </c>
      <c r="G50" t="s">
        <v>8</v>
      </c>
      <c r="H50" t="str">
        <f t="shared" si="0"/>
        <v>segment49</v>
      </c>
      <c r="I50">
        <v>49</v>
      </c>
      <c r="J50" t="str">
        <f t="shared" si="1"/>
        <v>getImagesFromGSV('38.7358662,-9.1801893', 'C:\\Projetos\\Mestrado\\masters_thesis\\workspace\\gsv\\images\\survey',138,'segment49')</v>
      </c>
      <c r="K50" t="str">
        <f t="shared" si="2"/>
        <v>INSERT INTO Routes([ImageUrl],[Lat],[Lon]) VALUES ('img/segment49.jpg','38.7358662','-9.1801893')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EB2D-D253-41CE-A3B6-BFAD042AFDFE}">
  <dimension ref="A1:V49"/>
  <sheetViews>
    <sheetView workbookViewId="0">
      <selection activeCell="V1" sqref="V1"/>
    </sheetView>
  </sheetViews>
  <sheetFormatPr defaultRowHeight="15" x14ac:dyDescent="0.25"/>
  <cols>
    <col min="1" max="1" width="11" customWidth="1"/>
    <col min="2" max="2" width="19.85546875" customWidth="1"/>
    <col min="3" max="3" width="17.85546875" bestFit="1" customWidth="1"/>
    <col min="4" max="4" width="18" customWidth="1"/>
    <col min="5" max="5" width="18.42578125" customWidth="1"/>
    <col min="6" max="6" width="19" customWidth="1"/>
    <col min="7" max="7" width="25.5703125" customWidth="1"/>
    <col min="8" max="8" width="14.7109375" customWidth="1"/>
    <col min="9" max="9" width="21" customWidth="1"/>
    <col min="10" max="10" width="18.42578125" customWidth="1"/>
    <col min="11" max="11" width="15.7109375" customWidth="1"/>
    <col min="12" max="13" width="11" customWidth="1"/>
    <col min="14" max="14" width="17.5703125" customWidth="1"/>
    <col min="16" max="16" width="9.85546875" bestFit="1" customWidth="1"/>
    <col min="17" max="17" width="14.140625" bestFit="1" customWidth="1"/>
    <col min="20" max="20" width="20.42578125" bestFit="1" customWidth="1"/>
  </cols>
  <sheetData>
    <row r="1" spans="1:22" x14ac:dyDescent="0.25">
      <c r="A1" t="s">
        <v>212</v>
      </c>
      <c r="B1" t="s">
        <v>196</v>
      </c>
      <c r="C1" t="s">
        <v>143</v>
      </c>
      <c r="D1" t="s">
        <v>0</v>
      </c>
      <c r="E1" t="s">
        <v>1</v>
      </c>
      <c r="F1" t="s">
        <v>203</v>
      </c>
      <c r="G1" t="s">
        <v>192</v>
      </c>
      <c r="H1" t="s">
        <v>193</v>
      </c>
      <c r="I1" t="s">
        <v>194</v>
      </c>
      <c r="J1" t="s">
        <v>195</v>
      </c>
      <c r="K1" t="s">
        <v>207</v>
      </c>
      <c r="L1" t="s">
        <v>208</v>
      </c>
      <c r="M1" t="s">
        <v>213</v>
      </c>
      <c r="N1" t="s">
        <v>209</v>
      </c>
      <c r="O1" t="s">
        <v>199</v>
      </c>
      <c r="P1" t="s">
        <v>214</v>
      </c>
      <c r="Q1" t="s">
        <v>215</v>
      </c>
      <c r="S1">
        <f>COUNTIF(S2:S49, TRUE)</f>
        <v>32</v>
      </c>
      <c r="V1">
        <f>ROUND(MEDIAN(Table1[Error]),2)</f>
        <v>1.69</v>
      </c>
    </row>
    <row r="2" spans="1:22" x14ac:dyDescent="0.25">
      <c r="A2">
        <v>24</v>
      </c>
      <c r="B2">
        <v>28</v>
      </c>
      <c r="C2" t="s">
        <v>167</v>
      </c>
      <c r="D2">
        <v>38.709860300000003</v>
      </c>
      <c r="E2">
        <v>-9.1482612999999997</v>
      </c>
      <c r="F2">
        <v>5.17</v>
      </c>
      <c r="G2" t="b">
        <v>0</v>
      </c>
      <c r="H2" t="b">
        <v>0</v>
      </c>
      <c r="I2" t="s">
        <v>198</v>
      </c>
      <c r="J2" t="b">
        <v>0</v>
      </c>
      <c r="K2">
        <v>5.16</v>
      </c>
      <c r="L2">
        <f>IF(F2-K2 &gt; 0, F2-K2, (F2-K2)*-1)</f>
        <v>9.9999999999997868E-3</v>
      </c>
      <c r="M2" t="str">
        <f>IF(L2&lt;=2,"Ok",)</f>
        <v>Ok</v>
      </c>
      <c r="N2">
        <v>5.16</v>
      </c>
      <c r="O2">
        <f>IF(F2-N2 &gt; 0, F2-N2, (F2-N2)*-1)</f>
        <v>9.9999999999997868E-3</v>
      </c>
      <c r="P2">
        <v>2</v>
      </c>
      <c r="Q2">
        <f>ROUND(MEDIAN(Table1[Error]),2)</f>
        <v>1.69</v>
      </c>
      <c r="S2" t="b">
        <f>O2&lt;=2</f>
        <v>1</v>
      </c>
      <c r="T2" t="str">
        <f>_xlfn.CONCAT(A2,"&amp;",F2,"&amp;",N2,"&amp;",ROUND(O2,2),"&amp;",S2,"\\\hline")</f>
        <v>24&amp;5.17&amp;5.16&amp;0.01&amp;TRUE\\\hline</v>
      </c>
    </row>
    <row r="3" spans="1:22" x14ac:dyDescent="0.25">
      <c r="A3">
        <v>35</v>
      </c>
      <c r="B3">
        <v>39</v>
      </c>
      <c r="C3" t="s">
        <v>178</v>
      </c>
      <c r="D3">
        <v>38.732275899999998</v>
      </c>
      <c r="E3">
        <v>-9.1062791000000001</v>
      </c>
      <c r="F3">
        <v>5</v>
      </c>
      <c r="G3" t="b">
        <v>0</v>
      </c>
      <c r="H3" t="b">
        <v>0</v>
      </c>
      <c r="I3" t="s">
        <v>197</v>
      </c>
      <c r="J3" t="b">
        <v>0</v>
      </c>
      <c r="K3">
        <v>5.91</v>
      </c>
      <c r="L3">
        <f>IF(F3-K3 &gt; 0, F3-K3, (F3-K3)*-1)</f>
        <v>0.91000000000000014</v>
      </c>
      <c r="M3" t="str">
        <f>IF(L3&lt;=2,"Ok",)</f>
        <v>Ok</v>
      </c>
      <c r="N3">
        <v>5.16</v>
      </c>
      <c r="O3">
        <f>IF(F3-N3 &gt; 0, F3-N3, (F3-N3)*-1)</f>
        <v>0.16000000000000014</v>
      </c>
      <c r="P3">
        <v>2</v>
      </c>
      <c r="Q3">
        <f>ROUND(MEDIAN(Table1[Error]),2)</f>
        <v>1.69</v>
      </c>
      <c r="S3" t="b">
        <f t="shared" ref="S3:S49" si="0">O3&lt;=2</f>
        <v>1</v>
      </c>
      <c r="T3" t="str">
        <f>_xlfn.CONCAT(A3,"&amp;",F3,"&amp;",N3,"&amp;",ROUND(O3,2),"&amp;",S3,"\\\hline")</f>
        <v>35&amp;5&amp;5.16&amp;0.16&amp;TRUE\\\hline</v>
      </c>
    </row>
    <row r="4" spans="1:22" x14ac:dyDescent="0.25">
      <c r="A4">
        <v>10</v>
      </c>
      <c r="B4">
        <v>14</v>
      </c>
      <c r="C4" t="s">
        <v>153</v>
      </c>
      <c r="D4">
        <v>38.711138400000003</v>
      </c>
      <c r="E4">
        <v>-9.1459203999999996</v>
      </c>
      <c r="F4">
        <v>4.91</v>
      </c>
      <c r="G4" t="b">
        <v>0</v>
      </c>
      <c r="H4" t="b">
        <v>0</v>
      </c>
      <c r="I4" t="s">
        <v>198</v>
      </c>
      <c r="J4" t="b">
        <v>0</v>
      </c>
      <c r="K4">
        <v>5.16</v>
      </c>
      <c r="L4">
        <f>IF(F4-K4 &gt; 0, F4-K4, (F4-K4)*-1)</f>
        <v>0.25</v>
      </c>
      <c r="M4" t="str">
        <f>IF(L4&lt;=2,"Ok",)</f>
        <v>Ok</v>
      </c>
      <c r="N4">
        <v>5.16</v>
      </c>
      <c r="O4">
        <f>IF(F4-N4 &gt; 0, F4-N4, (F4-N4)*-1)</f>
        <v>0.25</v>
      </c>
      <c r="P4">
        <v>2</v>
      </c>
      <c r="Q4">
        <f>ROUND(MEDIAN(Table1[Error]),2)</f>
        <v>1.69</v>
      </c>
      <c r="S4" t="b">
        <f t="shared" si="0"/>
        <v>1</v>
      </c>
      <c r="T4" t="str">
        <f>_xlfn.CONCAT(A4,"&amp;",F4,"&amp;",N4,"&amp;",ROUND(O4,2),"&amp;",S4,"\\\hline")</f>
        <v>10&amp;4.91&amp;5.16&amp;0.25&amp;TRUE\\\hline</v>
      </c>
    </row>
    <row r="5" spans="1:22" x14ac:dyDescent="0.25">
      <c r="A5">
        <v>44</v>
      </c>
      <c r="B5">
        <v>48</v>
      </c>
      <c r="C5" t="s">
        <v>187</v>
      </c>
      <c r="D5">
        <v>38.759249799999999</v>
      </c>
      <c r="E5">
        <v>-9.1116086000000003</v>
      </c>
      <c r="F5">
        <v>6.8</v>
      </c>
      <c r="G5" t="b">
        <v>1</v>
      </c>
      <c r="H5" t="b">
        <v>0</v>
      </c>
      <c r="I5" t="s">
        <v>197</v>
      </c>
      <c r="J5" t="b">
        <v>1</v>
      </c>
      <c r="K5">
        <v>7.1</v>
      </c>
      <c r="L5">
        <f>IF(F5-K5 &gt; 0, F5-K5, (F5-K5)*-1)</f>
        <v>0.29999999999999982</v>
      </c>
      <c r="M5" t="str">
        <f>IF(L5&lt;=2,"Ok",)</f>
        <v>Ok</v>
      </c>
      <c r="N5">
        <v>6.35</v>
      </c>
      <c r="O5">
        <f>IF(F5-N5 &gt; 0, F5-N5, (F5-N5)*-1)</f>
        <v>0.45000000000000018</v>
      </c>
      <c r="P5">
        <v>2</v>
      </c>
      <c r="Q5">
        <f>ROUND(MEDIAN(Table1[Error]),2)</f>
        <v>1.69</v>
      </c>
      <c r="S5" t="b">
        <f t="shared" si="0"/>
        <v>1</v>
      </c>
      <c r="T5" t="str">
        <f>_xlfn.CONCAT(A5,"&amp;",F5,"&amp;",N5,"&amp;",ROUND(O5,2),"&amp;",S5,"\\\hline")</f>
        <v>44&amp;6.8&amp;6.35&amp;0.45&amp;TRUE\\\hline</v>
      </c>
    </row>
    <row r="6" spans="1:22" x14ac:dyDescent="0.25">
      <c r="A6">
        <v>20</v>
      </c>
      <c r="B6">
        <v>24</v>
      </c>
      <c r="C6" t="s">
        <v>163</v>
      </c>
      <c r="D6">
        <v>38.762100199999999</v>
      </c>
      <c r="E6">
        <v>-9.1244256000000004</v>
      </c>
      <c r="F6">
        <v>2.5</v>
      </c>
      <c r="G6" t="b">
        <v>0</v>
      </c>
      <c r="H6" t="b">
        <v>0</v>
      </c>
      <c r="I6" t="s">
        <v>125</v>
      </c>
      <c r="J6" t="b">
        <v>1</v>
      </c>
      <c r="K6">
        <v>3.01</v>
      </c>
      <c r="L6">
        <f>IF(F6-K6 &gt; 0, F6-K6, (F6-K6)*-1)</f>
        <v>0.50999999999999979</v>
      </c>
      <c r="M6" t="str">
        <f>IF(L6&lt;=2,"Ok",)</f>
        <v>Ok</v>
      </c>
      <c r="N6">
        <v>3.01</v>
      </c>
      <c r="O6">
        <f>IF(F6-N6 &gt; 0, F6-N6, (F6-N6)*-1)</f>
        <v>0.50999999999999979</v>
      </c>
      <c r="P6">
        <v>2</v>
      </c>
      <c r="Q6">
        <f>ROUND(MEDIAN(Table1[Error]),2)</f>
        <v>1.69</v>
      </c>
      <c r="S6" t="b">
        <f t="shared" si="0"/>
        <v>1</v>
      </c>
      <c r="T6" t="str">
        <f>_xlfn.CONCAT(A6,"&amp;",F6,"&amp;",N6,"&amp;",ROUND(O6,2),"&amp;",S6,"\\\hline")</f>
        <v>20&amp;2.5&amp;3.01&amp;0.51&amp;TRUE\\\hline</v>
      </c>
    </row>
    <row r="7" spans="1:22" x14ac:dyDescent="0.25">
      <c r="A7">
        <v>36</v>
      </c>
      <c r="B7">
        <v>40</v>
      </c>
      <c r="C7" t="s">
        <v>179</v>
      </c>
      <c r="D7">
        <v>38.731487799999996</v>
      </c>
      <c r="E7">
        <v>-9.1099077000000008</v>
      </c>
      <c r="F7">
        <v>4.63</v>
      </c>
      <c r="G7" t="b">
        <v>0</v>
      </c>
      <c r="H7" t="b">
        <v>0</v>
      </c>
      <c r="I7" t="s">
        <v>197</v>
      </c>
      <c r="J7" t="b">
        <v>0</v>
      </c>
      <c r="K7">
        <v>5.91</v>
      </c>
      <c r="L7">
        <f>IF(F7-K7 &gt; 0, F7-K7, (F7-K7)*-1)</f>
        <v>1.2800000000000002</v>
      </c>
      <c r="M7" t="str">
        <f>IF(L7&lt;=2,"Ok",)</f>
        <v>Ok</v>
      </c>
      <c r="N7">
        <v>5.16</v>
      </c>
      <c r="O7">
        <f>IF(F7-N7 &gt; 0, F7-N7, (F7-N7)*-1)</f>
        <v>0.53000000000000025</v>
      </c>
      <c r="P7">
        <v>2</v>
      </c>
      <c r="Q7">
        <f>ROUND(MEDIAN(Table1[Error]),2)</f>
        <v>1.69</v>
      </c>
      <c r="S7" t="b">
        <f t="shared" si="0"/>
        <v>1</v>
      </c>
      <c r="T7" t="str">
        <f>_xlfn.CONCAT(A7,"&amp;",F7,"&amp;",N7,"&amp;",ROUND(O7,2),"&amp;",S7,"\\\hline")</f>
        <v>36&amp;4.63&amp;5.16&amp;0.53&amp;TRUE\\\hline</v>
      </c>
    </row>
    <row r="8" spans="1:22" x14ac:dyDescent="0.25">
      <c r="A8">
        <v>33</v>
      </c>
      <c r="B8">
        <v>37</v>
      </c>
      <c r="C8" t="s">
        <v>176</v>
      </c>
      <c r="D8">
        <v>38.738411200000002</v>
      </c>
      <c r="E8">
        <v>-9.1053148999999998</v>
      </c>
      <c r="F8">
        <v>4.5</v>
      </c>
      <c r="G8" t="b">
        <v>0</v>
      </c>
      <c r="H8" t="b">
        <v>0</v>
      </c>
      <c r="I8" t="s">
        <v>198</v>
      </c>
      <c r="J8" t="b">
        <v>0</v>
      </c>
      <c r="K8">
        <v>5.16</v>
      </c>
      <c r="L8">
        <f>IF(F8-K8 &gt; 0, F8-K8, (F8-K8)*-1)</f>
        <v>0.66000000000000014</v>
      </c>
      <c r="M8" t="str">
        <f>IF(L8&lt;=2,"Ok",)</f>
        <v>Ok</v>
      </c>
      <c r="N8">
        <v>5.16</v>
      </c>
      <c r="O8">
        <f>IF(F8-N8 &gt; 0, F8-N8, (F8-N8)*-1)</f>
        <v>0.66000000000000014</v>
      </c>
      <c r="P8">
        <v>2</v>
      </c>
      <c r="Q8">
        <f>ROUND(MEDIAN(Table1[Error]),2)</f>
        <v>1.69</v>
      </c>
      <c r="S8" t="b">
        <f t="shared" si="0"/>
        <v>1</v>
      </c>
      <c r="T8" t="str">
        <f>_xlfn.CONCAT(A8,"&amp;",F8,"&amp;",N8,"&amp;",ROUND(O8,2),"&amp;",S8,"\\\hline")</f>
        <v>33&amp;4.5&amp;5.16&amp;0.66&amp;TRUE\\\hline</v>
      </c>
    </row>
    <row r="9" spans="1:22" x14ac:dyDescent="0.25">
      <c r="A9">
        <v>25</v>
      </c>
      <c r="B9">
        <v>29</v>
      </c>
      <c r="C9" t="s">
        <v>168</v>
      </c>
      <c r="D9">
        <v>38.703625099999996</v>
      </c>
      <c r="E9">
        <v>-9.1678403999999993</v>
      </c>
      <c r="F9">
        <v>5.56</v>
      </c>
      <c r="G9" t="b">
        <v>0</v>
      </c>
      <c r="H9" t="b">
        <v>0</v>
      </c>
      <c r="I9" t="s">
        <v>197</v>
      </c>
      <c r="J9" t="b">
        <v>1</v>
      </c>
      <c r="K9">
        <v>3.01</v>
      </c>
      <c r="L9">
        <f>IF(F9-K9 &gt; 0, F9-K9, (F9-K9)*-1)</f>
        <v>2.5499999999999998</v>
      </c>
      <c r="N9">
        <v>6.35</v>
      </c>
      <c r="O9">
        <f>IF(F9-N9 &gt; 0, F9-N9, (F9-N9)*-1)</f>
        <v>0.79</v>
      </c>
      <c r="P9">
        <v>2</v>
      </c>
      <c r="Q9">
        <f>ROUND(MEDIAN(Table1[Error]),2)</f>
        <v>1.69</v>
      </c>
      <c r="S9" t="b">
        <f t="shared" si="0"/>
        <v>1</v>
      </c>
      <c r="T9" t="str">
        <f>_xlfn.CONCAT(A9,"&amp;",F9,"&amp;",N9,"&amp;",ROUND(O9,2),"&amp;",S9,"\\\hline")</f>
        <v>25&amp;5.56&amp;6.35&amp;0.79&amp;TRUE\\\hline</v>
      </c>
    </row>
    <row r="10" spans="1:22" x14ac:dyDescent="0.25">
      <c r="A10">
        <v>1</v>
      </c>
      <c r="B10">
        <v>5</v>
      </c>
      <c r="C10" t="s">
        <v>144</v>
      </c>
      <c r="D10">
        <v>38.7319946</v>
      </c>
      <c r="E10">
        <v>-9.1049083</v>
      </c>
      <c r="F10">
        <v>7.15</v>
      </c>
      <c r="G10" t="b">
        <v>1</v>
      </c>
      <c r="H10" t="b">
        <v>0</v>
      </c>
      <c r="I10" t="s">
        <v>197</v>
      </c>
      <c r="J10" t="b">
        <v>1</v>
      </c>
      <c r="K10">
        <v>7.1</v>
      </c>
      <c r="L10">
        <f>IF(F10-K10 &gt; 0, F10-K10, (F10-K10)*-1)</f>
        <v>5.0000000000000711E-2</v>
      </c>
      <c r="M10" t="str">
        <f>IF(L10&lt;=2,"Ok",)</f>
        <v>Ok</v>
      </c>
      <c r="N10">
        <v>6.35</v>
      </c>
      <c r="O10">
        <f>IF(F10-N10 &gt; 0, F10-N10, (F10-N10)*-1)</f>
        <v>0.80000000000000071</v>
      </c>
      <c r="P10">
        <v>2</v>
      </c>
      <c r="Q10">
        <f>ROUND(MEDIAN(Table1[Error]),2)</f>
        <v>1.69</v>
      </c>
      <c r="S10" t="b">
        <f t="shared" si="0"/>
        <v>1</v>
      </c>
      <c r="T10" t="str">
        <f>_xlfn.CONCAT(A10,"&amp;",F10,"&amp;",N10,"&amp;",ROUND(O10,2),"&amp;",S10,"\\\hline")</f>
        <v>1&amp;7.15&amp;6.35&amp;0.8&amp;TRUE\\\hline</v>
      </c>
    </row>
    <row r="11" spans="1:22" x14ac:dyDescent="0.25">
      <c r="A11">
        <v>42</v>
      </c>
      <c r="B11">
        <v>46</v>
      </c>
      <c r="C11" t="s">
        <v>185</v>
      </c>
      <c r="D11">
        <v>38.757871799999997</v>
      </c>
      <c r="E11">
        <v>-9.0963819000000008</v>
      </c>
      <c r="F11">
        <v>8.4</v>
      </c>
      <c r="G11" t="b">
        <v>0</v>
      </c>
      <c r="H11" t="b">
        <v>0</v>
      </c>
      <c r="I11" t="s">
        <v>197</v>
      </c>
      <c r="J11" t="b">
        <v>0</v>
      </c>
      <c r="K11">
        <v>5.91</v>
      </c>
      <c r="L11">
        <f>IF(F11-K11 &gt; 0, F11-K11, (F11-K11)*-1)</f>
        <v>2.4900000000000002</v>
      </c>
      <c r="N11">
        <v>9.25</v>
      </c>
      <c r="O11">
        <f>IF(F11-N11 &gt; 0, F11-N11, (F11-N11)*-1)</f>
        <v>0.84999999999999964</v>
      </c>
      <c r="P11">
        <v>2</v>
      </c>
      <c r="Q11">
        <f>ROUND(MEDIAN(Table1[Error]),2)</f>
        <v>1.69</v>
      </c>
      <c r="S11" t="b">
        <f t="shared" si="0"/>
        <v>1</v>
      </c>
      <c r="T11" t="str">
        <f>_xlfn.CONCAT(A11,"&amp;",F11,"&amp;",N11,"&amp;",ROUND(O11,2),"&amp;",S11,"\\\hline")</f>
        <v>42&amp;8.4&amp;9.25&amp;0.85&amp;TRUE\\\hline</v>
      </c>
    </row>
    <row r="12" spans="1:22" x14ac:dyDescent="0.25">
      <c r="A12">
        <v>17</v>
      </c>
      <c r="B12">
        <v>21</v>
      </c>
      <c r="C12" t="s">
        <v>160</v>
      </c>
      <c r="D12">
        <v>38.727843399999998</v>
      </c>
      <c r="E12">
        <v>-9.1891715999999999</v>
      </c>
      <c r="F12">
        <v>6.11</v>
      </c>
      <c r="G12" t="b">
        <v>0</v>
      </c>
      <c r="H12" t="b">
        <v>0</v>
      </c>
      <c r="I12" t="s">
        <v>197</v>
      </c>
      <c r="J12" t="b">
        <v>0</v>
      </c>
      <c r="K12">
        <v>5.91</v>
      </c>
      <c r="L12">
        <f>IF(F12-K12 &gt; 0, F12-K12, (F12-K12)*-1)</f>
        <v>0.20000000000000018</v>
      </c>
      <c r="M12" t="str">
        <f>IF(L12&lt;=2,"Ok",)</f>
        <v>Ok</v>
      </c>
      <c r="N12">
        <v>5.16</v>
      </c>
      <c r="O12">
        <f>IF(F12-N12 &gt; 0, F12-N12, (F12-N12)*-1)</f>
        <v>0.95000000000000018</v>
      </c>
      <c r="P12">
        <v>2</v>
      </c>
      <c r="Q12">
        <f>ROUND(MEDIAN(Table1[Error]),2)</f>
        <v>1.69</v>
      </c>
      <c r="S12" t="b">
        <f t="shared" si="0"/>
        <v>1</v>
      </c>
      <c r="T12" t="str">
        <f>_xlfn.CONCAT(A12,"&amp;",F12,"&amp;",N12,"&amp;",ROUND(O12,2),"&amp;",S12,"\\\hline")</f>
        <v>17&amp;6.11&amp;5.16&amp;0.95&amp;TRUE\\\hline</v>
      </c>
    </row>
    <row r="13" spans="1:22" x14ac:dyDescent="0.25">
      <c r="A13">
        <v>4</v>
      </c>
      <c r="B13">
        <v>8</v>
      </c>
      <c r="C13" t="s">
        <v>147</v>
      </c>
      <c r="D13">
        <v>38.7384427</v>
      </c>
      <c r="E13">
        <v>-9.1255362000000009</v>
      </c>
      <c r="F13">
        <v>4.8600000000000003</v>
      </c>
      <c r="G13" t="b">
        <v>0</v>
      </c>
      <c r="H13" t="b">
        <v>0</v>
      </c>
      <c r="I13" t="s">
        <v>197</v>
      </c>
      <c r="J13" t="b">
        <v>0</v>
      </c>
      <c r="K13">
        <v>5.91</v>
      </c>
      <c r="L13">
        <f>IF(F13-K13 &gt; 0, F13-K13, (F13-K13)*-1)</f>
        <v>1.0499999999999998</v>
      </c>
      <c r="M13" t="str">
        <f>IF(L13&lt;=2,"Ok",)</f>
        <v>Ok</v>
      </c>
      <c r="N13">
        <v>5.91</v>
      </c>
      <c r="O13">
        <f>IF(F13-N13 &gt; 0, F13-N13, (F13-N13)*-1)</f>
        <v>1.0499999999999998</v>
      </c>
      <c r="P13">
        <v>2</v>
      </c>
      <c r="Q13">
        <f>ROUND(MEDIAN(Table1[Error]),2)</f>
        <v>1.69</v>
      </c>
      <c r="S13" t="b">
        <f t="shared" si="0"/>
        <v>1</v>
      </c>
      <c r="T13" t="str">
        <f>_xlfn.CONCAT(A13,"&amp;",F13,"&amp;",N13,"&amp;",ROUND(O13,2),"&amp;",S13,"\\\hline")</f>
        <v>4&amp;4.86&amp;5.91&amp;1.05&amp;TRUE\\\hline</v>
      </c>
    </row>
    <row r="14" spans="1:22" x14ac:dyDescent="0.25">
      <c r="A14">
        <v>23</v>
      </c>
      <c r="B14">
        <v>27</v>
      </c>
      <c r="C14" t="s">
        <v>166</v>
      </c>
      <c r="D14">
        <v>38.709541399999999</v>
      </c>
      <c r="E14">
        <v>-9.1497568999999999</v>
      </c>
      <c r="F14">
        <v>4.09</v>
      </c>
      <c r="G14" t="b">
        <v>0</v>
      </c>
      <c r="H14" t="b">
        <v>0</v>
      </c>
      <c r="I14" t="s">
        <v>198</v>
      </c>
      <c r="J14" t="b">
        <v>0</v>
      </c>
      <c r="K14">
        <v>5.16</v>
      </c>
      <c r="L14">
        <f>IF(F14-K14 &gt; 0, F14-K14, (F14-K14)*-1)</f>
        <v>1.0700000000000003</v>
      </c>
      <c r="M14" t="str">
        <f>IF(L14&lt;=2,"Ok",)</f>
        <v>Ok</v>
      </c>
      <c r="N14">
        <v>5.16</v>
      </c>
      <c r="O14">
        <f>IF(F14-N14 &gt; 0, F14-N14, (F14-N14)*-1)</f>
        <v>1.0700000000000003</v>
      </c>
      <c r="P14">
        <v>2</v>
      </c>
      <c r="Q14">
        <f>ROUND(MEDIAN(Table1[Error]),2)</f>
        <v>1.69</v>
      </c>
      <c r="S14" t="b">
        <f t="shared" si="0"/>
        <v>1</v>
      </c>
      <c r="T14" t="str">
        <f>_xlfn.CONCAT(A14,"&amp;",F14,"&amp;",N14,"&amp;",ROUND(O14,2),"&amp;",S14,"\\\hline")</f>
        <v>23&amp;4.09&amp;5.16&amp;1.07&amp;TRUE\\\hline</v>
      </c>
    </row>
    <row r="15" spans="1:22" x14ac:dyDescent="0.25">
      <c r="A15">
        <v>15</v>
      </c>
      <c r="B15">
        <v>19</v>
      </c>
      <c r="C15" t="s">
        <v>158</v>
      </c>
      <c r="D15">
        <v>38.734853999999999</v>
      </c>
      <c r="E15">
        <v>-9.1790836999999996</v>
      </c>
      <c r="F15">
        <v>4</v>
      </c>
      <c r="G15" t="b">
        <v>0</v>
      </c>
      <c r="H15" t="b">
        <v>0</v>
      </c>
      <c r="I15" t="s">
        <v>125</v>
      </c>
      <c r="J15" t="b">
        <v>0</v>
      </c>
      <c r="K15">
        <v>2.9</v>
      </c>
      <c r="L15">
        <f>IF(F15-K15 &gt; 0, F15-K15, (F15-K15)*-1)</f>
        <v>1.1000000000000001</v>
      </c>
      <c r="M15" t="str">
        <f>IF(L15&lt;=2,"Ok",)</f>
        <v>Ok</v>
      </c>
      <c r="N15">
        <v>2.9</v>
      </c>
      <c r="O15">
        <f>IF(F15-N15 &gt; 0, F15-N15, (F15-N15)*-1)</f>
        <v>1.1000000000000001</v>
      </c>
      <c r="P15">
        <v>2</v>
      </c>
      <c r="Q15">
        <f>ROUND(MEDIAN(Table1[Error]),2)</f>
        <v>1.69</v>
      </c>
      <c r="S15" t="b">
        <f t="shared" si="0"/>
        <v>1</v>
      </c>
      <c r="T15" t="str">
        <f>_xlfn.CONCAT(A15,"&amp;",F15,"&amp;",N15,"&amp;",ROUND(O15,2),"&amp;",S15,"\\\hline")</f>
        <v>15&amp;4&amp;2.9&amp;1.1&amp;TRUE\\\hline</v>
      </c>
    </row>
    <row r="16" spans="1:22" x14ac:dyDescent="0.25">
      <c r="A16">
        <v>43</v>
      </c>
      <c r="B16">
        <v>47</v>
      </c>
      <c r="C16" t="s">
        <v>186</v>
      </c>
      <c r="D16">
        <v>38.762148600000003</v>
      </c>
      <c r="E16">
        <v>-9.0960245999999998</v>
      </c>
      <c r="F16">
        <v>8</v>
      </c>
      <c r="G16" t="b">
        <v>1</v>
      </c>
      <c r="H16" t="b">
        <v>0</v>
      </c>
      <c r="I16" t="s">
        <v>198</v>
      </c>
      <c r="J16" t="b">
        <v>0</v>
      </c>
      <c r="K16">
        <v>9.25</v>
      </c>
      <c r="L16">
        <f>IF(F16-K16 &gt; 0, F16-K16, (F16-K16)*-1)</f>
        <v>1.25</v>
      </c>
      <c r="M16" t="str">
        <f>IF(L16&lt;=2,"Ok",)</f>
        <v>Ok</v>
      </c>
      <c r="N16">
        <v>9.25</v>
      </c>
      <c r="O16">
        <f>IF(F16-N16 &gt; 0, F16-N16, (F16-N16)*-1)</f>
        <v>1.25</v>
      </c>
      <c r="P16">
        <v>2</v>
      </c>
      <c r="Q16">
        <f>ROUND(MEDIAN(Table1[Error]),2)</f>
        <v>1.69</v>
      </c>
      <c r="S16" t="b">
        <f t="shared" si="0"/>
        <v>1</v>
      </c>
      <c r="T16" t="str">
        <f>_xlfn.CONCAT(A16,"&amp;",F16,"&amp;",N16,"&amp;",ROUND(O16,2),"&amp;",S16,"\\\hline")</f>
        <v>43&amp;8&amp;9.25&amp;1.25&amp;TRUE\\\hline</v>
      </c>
    </row>
    <row r="17" spans="1:20" x14ac:dyDescent="0.25">
      <c r="A17">
        <v>6</v>
      </c>
      <c r="B17">
        <v>10</v>
      </c>
      <c r="C17" t="s">
        <v>149</v>
      </c>
      <c r="D17">
        <v>38.7442663</v>
      </c>
      <c r="E17">
        <v>-9.1375878999999998</v>
      </c>
      <c r="F17">
        <v>4.6399999999999997</v>
      </c>
      <c r="G17" t="b">
        <v>0</v>
      </c>
      <c r="H17" t="b">
        <v>0</v>
      </c>
      <c r="I17" t="s">
        <v>198</v>
      </c>
      <c r="J17" t="b">
        <v>0</v>
      </c>
      <c r="K17">
        <v>5.16</v>
      </c>
      <c r="L17">
        <f>IF(F17-K17 &gt; 0, F17-K17, (F17-K17)*-1)</f>
        <v>0.52000000000000046</v>
      </c>
      <c r="M17" t="str">
        <f>IF(L17&lt;=2,"Ok",)</f>
        <v>Ok</v>
      </c>
      <c r="N17">
        <v>5.91</v>
      </c>
      <c r="O17">
        <f>IF(F17-N17 &gt; 0, F17-N17, (F17-N17)*-1)</f>
        <v>1.2700000000000005</v>
      </c>
      <c r="P17">
        <v>2</v>
      </c>
      <c r="Q17">
        <f>ROUND(MEDIAN(Table1[Error]),2)</f>
        <v>1.69</v>
      </c>
      <c r="S17" t="b">
        <f t="shared" si="0"/>
        <v>1</v>
      </c>
      <c r="T17" t="str">
        <f>_xlfn.CONCAT(A17,"&amp;",F17,"&amp;",N17,"&amp;",ROUND(O17,2),"&amp;",S17,"\\\hline")</f>
        <v>6&amp;4.64&amp;5.91&amp;1.27&amp;TRUE\\\hline</v>
      </c>
    </row>
    <row r="18" spans="1:20" x14ac:dyDescent="0.25">
      <c r="A18">
        <v>21</v>
      </c>
      <c r="B18">
        <v>25</v>
      </c>
      <c r="C18" t="s">
        <v>164</v>
      </c>
      <c r="D18">
        <v>38.727823200000003</v>
      </c>
      <c r="E18">
        <v>-9.1347351000000003</v>
      </c>
      <c r="F18">
        <v>5.77</v>
      </c>
      <c r="G18" t="b">
        <v>1</v>
      </c>
      <c r="H18" t="b">
        <v>0</v>
      </c>
      <c r="I18" t="s">
        <v>197</v>
      </c>
      <c r="J18" t="b">
        <v>1</v>
      </c>
      <c r="K18">
        <v>7.1</v>
      </c>
      <c r="L18">
        <f>IF(F18-K18 &gt; 0, F18-K18, (F18-K18)*-1)</f>
        <v>1.33</v>
      </c>
      <c r="M18" t="str">
        <f>IF(L18&lt;=2,"Ok",)</f>
        <v>Ok</v>
      </c>
      <c r="N18">
        <v>7.1</v>
      </c>
      <c r="O18">
        <f>IF(F18-N18 &gt; 0, F18-N18, (F18-N18)*-1)</f>
        <v>1.33</v>
      </c>
      <c r="P18">
        <v>2</v>
      </c>
      <c r="Q18">
        <f>ROUND(MEDIAN(Table1[Error]),2)</f>
        <v>1.69</v>
      </c>
      <c r="S18" t="b">
        <f t="shared" si="0"/>
        <v>1</v>
      </c>
      <c r="T18" t="str">
        <f>_xlfn.CONCAT(A18,"&amp;",F18,"&amp;",N18,"&amp;",ROUND(O18,2),"&amp;",S18,"\\\hline")</f>
        <v>21&amp;5.77&amp;7.1&amp;1.33&amp;TRUE\\\hline</v>
      </c>
    </row>
    <row r="19" spans="1:20" x14ac:dyDescent="0.25">
      <c r="A19">
        <v>19</v>
      </c>
      <c r="B19">
        <v>23</v>
      </c>
      <c r="C19" t="s">
        <v>162</v>
      </c>
      <c r="D19">
        <v>38.767512600000003</v>
      </c>
      <c r="E19">
        <v>-9.0959366999999993</v>
      </c>
      <c r="F19">
        <v>7.91</v>
      </c>
      <c r="G19" t="b">
        <v>1</v>
      </c>
      <c r="H19" t="b">
        <v>0</v>
      </c>
      <c r="I19" t="s">
        <v>198</v>
      </c>
      <c r="J19" t="b">
        <v>0</v>
      </c>
      <c r="K19">
        <v>9.25</v>
      </c>
      <c r="L19">
        <f>IF(F19-K19 &gt; 0, F19-K19, (F19-K19)*-1)</f>
        <v>1.3399999999999999</v>
      </c>
      <c r="M19" t="str">
        <f>IF(L19&lt;=2,"Ok",)</f>
        <v>Ok</v>
      </c>
      <c r="N19">
        <v>9.25</v>
      </c>
      <c r="O19">
        <f>IF(F19-N19 &gt; 0, F19-N19, (F19-N19)*-1)</f>
        <v>1.3399999999999999</v>
      </c>
      <c r="P19">
        <v>2</v>
      </c>
      <c r="Q19">
        <f>ROUND(MEDIAN(Table1[Error]),2)</f>
        <v>1.69</v>
      </c>
      <c r="S19" t="b">
        <f t="shared" si="0"/>
        <v>1</v>
      </c>
      <c r="T19" t="str">
        <f>_xlfn.CONCAT(A19,"&amp;",F19,"&amp;",N19,"&amp;",ROUND(O19,2),"&amp;",S19,"\\\hline")</f>
        <v>19&amp;7.91&amp;9.25&amp;1.34&amp;TRUE\\\hline</v>
      </c>
    </row>
    <row r="20" spans="1:20" x14ac:dyDescent="0.25">
      <c r="A20">
        <v>34</v>
      </c>
      <c r="B20">
        <v>38</v>
      </c>
      <c r="C20" t="s">
        <v>177</v>
      </c>
      <c r="D20">
        <v>38.740740600000002</v>
      </c>
      <c r="E20">
        <v>-9.1026685000000001</v>
      </c>
      <c r="F20">
        <v>3.78</v>
      </c>
      <c r="G20" t="b">
        <v>0</v>
      </c>
      <c r="H20" t="b">
        <v>0</v>
      </c>
      <c r="I20" t="s">
        <v>125</v>
      </c>
      <c r="J20" t="b">
        <v>0</v>
      </c>
      <c r="K20">
        <v>2.9</v>
      </c>
      <c r="L20">
        <f>IF(F20-K20 &gt; 0, F20-K20, (F20-K20)*-1)</f>
        <v>0.87999999999999989</v>
      </c>
      <c r="M20" t="str">
        <f>IF(L20&lt;=2,"Ok",)</f>
        <v>Ok</v>
      </c>
      <c r="N20">
        <v>5.16</v>
      </c>
      <c r="O20">
        <f>IF(F20-N20 &gt; 0, F20-N20, (F20-N20)*-1)</f>
        <v>1.3800000000000003</v>
      </c>
      <c r="P20">
        <v>2</v>
      </c>
      <c r="Q20">
        <f>ROUND(MEDIAN(Table1[Error]),2)</f>
        <v>1.69</v>
      </c>
      <c r="S20" t="b">
        <f t="shared" si="0"/>
        <v>1</v>
      </c>
      <c r="T20" t="str">
        <f>_xlfn.CONCAT(A20,"&amp;",F20,"&amp;",N20,"&amp;",ROUND(O20,2),"&amp;",S20,"\\\hline")</f>
        <v>34&amp;3.78&amp;5.16&amp;1.38&amp;TRUE\\\hline</v>
      </c>
    </row>
    <row r="21" spans="1:20" x14ac:dyDescent="0.25">
      <c r="A21">
        <v>26</v>
      </c>
      <c r="B21">
        <v>30</v>
      </c>
      <c r="C21" t="s">
        <v>169</v>
      </c>
      <c r="D21">
        <v>38.704123699999997</v>
      </c>
      <c r="E21">
        <v>-9.1609235000000009</v>
      </c>
      <c r="F21">
        <v>3.73</v>
      </c>
      <c r="G21" t="b">
        <v>1</v>
      </c>
      <c r="H21" t="b">
        <v>0</v>
      </c>
      <c r="I21" t="s">
        <v>197</v>
      </c>
      <c r="J21" t="b">
        <v>1</v>
      </c>
      <c r="K21">
        <v>7.1</v>
      </c>
      <c r="L21">
        <f>IF(F21-K21 &gt; 0, F21-K21, (F21-K21)*-1)</f>
        <v>3.3699999999999997</v>
      </c>
      <c r="N21">
        <v>2.2599999999999998</v>
      </c>
      <c r="O21">
        <f>IF(F21-N21 &gt; 0, F21-N21, (F21-N21)*-1)</f>
        <v>1.4700000000000002</v>
      </c>
      <c r="P21">
        <v>2</v>
      </c>
      <c r="Q21">
        <f>ROUND(MEDIAN(Table1[Error]),2)</f>
        <v>1.69</v>
      </c>
      <c r="S21" t="b">
        <f t="shared" si="0"/>
        <v>1</v>
      </c>
      <c r="T21" t="str">
        <f>_xlfn.CONCAT(A21,"&amp;",F21,"&amp;",N21,"&amp;",ROUND(O21,2),"&amp;",S21,"\\\hline")</f>
        <v>26&amp;3.73&amp;2.26&amp;1.47&amp;TRUE\\\hline</v>
      </c>
    </row>
    <row r="22" spans="1:20" x14ac:dyDescent="0.25">
      <c r="A22">
        <v>2</v>
      </c>
      <c r="B22">
        <v>6</v>
      </c>
      <c r="C22" t="s">
        <v>145</v>
      </c>
      <c r="D22">
        <v>38.7380341</v>
      </c>
      <c r="E22">
        <v>-9.1255956000000005</v>
      </c>
      <c r="F22">
        <v>3.67</v>
      </c>
      <c r="G22" t="b">
        <v>0</v>
      </c>
      <c r="H22" t="b">
        <v>0</v>
      </c>
      <c r="I22" t="s">
        <v>197</v>
      </c>
      <c r="J22" t="b">
        <v>0</v>
      </c>
      <c r="K22">
        <v>5.91</v>
      </c>
      <c r="L22">
        <f>IF(F22-K22 &gt; 0, F22-K22, (F22-K22)*-1)</f>
        <v>2.2400000000000002</v>
      </c>
      <c r="N22">
        <v>5.16</v>
      </c>
      <c r="O22">
        <f>IF(F22-N22 &gt; 0, F22-N22, (F22-N22)*-1)</f>
        <v>1.4900000000000002</v>
      </c>
      <c r="P22">
        <v>2</v>
      </c>
      <c r="Q22">
        <f>ROUND(MEDIAN(Table1[Error]),2)</f>
        <v>1.69</v>
      </c>
      <c r="S22" t="b">
        <f t="shared" si="0"/>
        <v>1</v>
      </c>
      <c r="T22" t="str">
        <f>_xlfn.CONCAT(A22,"&amp;",F22,"&amp;",N22,"&amp;",ROUND(O22,2),"&amp;",S22,"\\\hline")</f>
        <v>2&amp;3.67&amp;5.16&amp;1.49&amp;TRUE\\\hline</v>
      </c>
    </row>
    <row r="23" spans="1:20" x14ac:dyDescent="0.25">
      <c r="A23">
        <v>31</v>
      </c>
      <c r="B23">
        <v>35</v>
      </c>
      <c r="C23" t="s">
        <v>174</v>
      </c>
      <c r="D23">
        <v>38.774383399999998</v>
      </c>
      <c r="E23">
        <v>-9.0950229</v>
      </c>
      <c r="F23">
        <v>7.73</v>
      </c>
      <c r="G23" t="b">
        <v>1</v>
      </c>
      <c r="H23" t="b">
        <v>0</v>
      </c>
      <c r="I23" t="s">
        <v>198</v>
      </c>
      <c r="J23" t="b">
        <v>0</v>
      </c>
      <c r="K23">
        <v>9.25</v>
      </c>
      <c r="L23">
        <f>IF(F23-K23 &gt; 0, F23-K23, (F23-K23)*-1)</f>
        <v>1.5199999999999996</v>
      </c>
      <c r="M23" t="str">
        <f>IF(L23&lt;=2,"Ok",)</f>
        <v>Ok</v>
      </c>
      <c r="N23">
        <v>9.25</v>
      </c>
      <c r="O23">
        <f>IF(F23-N23 &gt; 0, F23-N23, (F23-N23)*-1)</f>
        <v>1.5199999999999996</v>
      </c>
      <c r="P23">
        <v>2</v>
      </c>
      <c r="Q23">
        <f>ROUND(MEDIAN(Table1[Error]),2)</f>
        <v>1.69</v>
      </c>
      <c r="S23" t="b">
        <f t="shared" si="0"/>
        <v>1</v>
      </c>
      <c r="T23" t="str">
        <f>_xlfn.CONCAT(A23,"&amp;",F23,"&amp;",N23,"&amp;",ROUND(O23,2),"&amp;",S23,"\\\hline")</f>
        <v>31&amp;7.73&amp;9.25&amp;1.52&amp;TRUE\\\hline</v>
      </c>
    </row>
    <row r="24" spans="1:20" x14ac:dyDescent="0.25">
      <c r="A24">
        <v>18</v>
      </c>
      <c r="B24">
        <v>22</v>
      </c>
      <c r="C24" t="s">
        <v>161</v>
      </c>
      <c r="D24">
        <v>38.757672900000003</v>
      </c>
      <c r="E24">
        <v>-9.1092031000000002</v>
      </c>
      <c r="F24">
        <v>8.75</v>
      </c>
      <c r="G24" t="b">
        <v>1</v>
      </c>
      <c r="H24" t="b">
        <v>0</v>
      </c>
      <c r="I24" t="s">
        <v>197</v>
      </c>
      <c r="J24" t="b">
        <v>1</v>
      </c>
      <c r="K24">
        <v>7.1</v>
      </c>
      <c r="L24">
        <f>IF(F24-K24 &gt; 0, F24-K24, (F24-K24)*-1)</f>
        <v>1.6500000000000004</v>
      </c>
      <c r="M24" t="str">
        <f>IF(L24&lt;=2,"Ok",)</f>
        <v>Ok</v>
      </c>
      <c r="N24">
        <v>7.1</v>
      </c>
      <c r="O24">
        <f>IF(F24-N24 &gt; 0, F24-N24, (F24-N24)*-1)</f>
        <v>1.6500000000000004</v>
      </c>
      <c r="P24">
        <v>2</v>
      </c>
      <c r="Q24">
        <f>ROUND(MEDIAN(Table1[Error]),2)</f>
        <v>1.69</v>
      </c>
      <c r="S24" t="b">
        <f t="shared" si="0"/>
        <v>1</v>
      </c>
      <c r="T24" t="str">
        <f>_xlfn.CONCAT(A24,"&amp;",F24,"&amp;",N24,"&amp;",ROUND(O24,2),"&amp;",S24,"\\\hline")</f>
        <v>18&amp;8.75&amp;7.1&amp;1.65&amp;TRUE\\\hline</v>
      </c>
    </row>
    <row r="25" spans="1:20" x14ac:dyDescent="0.25">
      <c r="A25">
        <v>45</v>
      </c>
      <c r="B25">
        <v>49</v>
      </c>
      <c r="C25" t="s">
        <v>188</v>
      </c>
      <c r="D25">
        <v>38.759694000000003</v>
      </c>
      <c r="E25">
        <v>-9.1158573999999994</v>
      </c>
      <c r="F25">
        <v>8</v>
      </c>
      <c r="G25" t="b">
        <v>1</v>
      </c>
      <c r="H25" t="b">
        <v>0</v>
      </c>
      <c r="I25" t="s">
        <v>197</v>
      </c>
      <c r="J25" t="b">
        <v>1</v>
      </c>
      <c r="K25">
        <v>7.1</v>
      </c>
      <c r="L25">
        <f>IF(F25-K25 &gt; 0, F25-K25, (F25-K25)*-1)</f>
        <v>0.90000000000000036</v>
      </c>
      <c r="M25" t="str">
        <f>IF(L25&lt;=2,"Ok",)</f>
        <v>Ok</v>
      </c>
      <c r="N25">
        <v>6.35</v>
      </c>
      <c r="O25">
        <f>IF(F25-N25 &gt; 0, F25-N25, (F25-N25)*-1)</f>
        <v>1.6500000000000004</v>
      </c>
      <c r="P25">
        <v>2</v>
      </c>
      <c r="Q25">
        <f>ROUND(MEDIAN(Table1[Error]),2)</f>
        <v>1.69</v>
      </c>
      <c r="S25" t="b">
        <f t="shared" si="0"/>
        <v>1</v>
      </c>
      <c r="T25" t="str">
        <f>_xlfn.CONCAT(A25,"&amp;",F25,"&amp;",N25,"&amp;",ROUND(O25,2),"&amp;",S25,"\\\hline")</f>
        <v>45&amp;8&amp;6.35&amp;1.65&amp;TRUE\\\hline</v>
      </c>
    </row>
    <row r="26" spans="1:20" x14ac:dyDescent="0.25">
      <c r="A26">
        <v>8</v>
      </c>
      <c r="B26">
        <v>12</v>
      </c>
      <c r="C26" t="s">
        <v>151</v>
      </c>
      <c r="D26">
        <v>38.706550700000001</v>
      </c>
      <c r="E26">
        <v>-9.1487473000000001</v>
      </c>
      <c r="F26">
        <v>5.38</v>
      </c>
      <c r="G26" t="b">
        <v>1</v>
      </c>
      <c r="H26" t="b">
        <v>0</v>
      </c>
      <c r="I26" t="s">
        <v>197</v>
      </c>
      <c r="J26" t="b">
        <v>1</v>
      </c>
      <c r="K26">
        <v>7.1</v>
      </c>
      <c r="L26">
        <f>IF(F26-K26 &gt; 0, F26-K26, (F26-K26)*-1)</f>
        <v>1.7199999999999998</v>
      </c>
      <c r="M26" t="str">
        <f>IF(L26&lt;=2,"Ok",)</f>
        <v>Ok</v>
      </c>
      <c r="N26">
        <v>7.1</v>
      </c>
      <c r="O26">
        <f>IF(F26-N26 &gt; 0, F26-N26, (F26-N26)*-1)</f>
        <v>1.7199999999999998</v>
      </c>
      <c r="P26">
        <v>2</v>
      </c>
      <c r="Q26">
        <f>ROUND(MEDIAN(Table1[Error]),2)</f>
        <v>1.69</v>
      </c>
      <c r="S26" t="b">
        <f t="shared" si="0"/>
        <v>1</v>
      </c>
      <c r="T26" t="str">
        <f>_xlfn.CONCAT(A26,"&amp;",F26,"&amp;",N26,"&amp;",ROUND(O26,2),"&amp;",S26,"\\\hline")</f>
        <v>8&amp;5.38&amp;7.1&amp;1.72&amp;TRUE\\\hline</v>
      </c>
    </row>
    <row r="27" spans="1:20" x14ac:dyDescent="0.25">
      <c r="A27">
        <v>5</v>
      </c>
      <c r="B27">
        <v>9</v>
      </c>
      <c r="C27" t="s">
        <v>148</v>
      </c>
      <c r="D27">
        <v>38.7386999</v>
      </c>
      <c r="E27">
        <v>-9.1336203000000005</v>
      </c>
      <c r="F27">
        <v>4.75</v>
      </c>
      <c r="G27" t="b">
        <v>0</v>
      </c>
      <c r="H27" t="b">
        <v>0</v>
      </c>
      <c r="I27" t="s">
        <v>125</v>
      </c>
      <c r="J27" t="b">
        <v>1</v>
      </c>
      <c r="K27">
        <v>0</v>
      </c>
      <c r="L27">
        <f>IF(F27-K27 &gt; 0, F27-K27, (F27-K27)*-1)</f>
        <v>4.75</v>
      </c>
      <c r="N27">
        <v>3.01</v>
      </c>
      <c r="O27">
        <f>IF(F27-N27 &gt; 0, F27-N27, (F27-N27)*-1)</f>
        <v>1.7400000000000002</v>
      </c>
      <c r="P27">
        <v>2</v>
      </c>
      <c r="Q27">
        <f>ROUND(MEDIAN(Table1[Error]),2)</f>
        <v>1.69</v>
      </c>
      <c r="S27" t="b">
        <f t="shared" si="0"/>
        <v>1</v>
      </c>
      <c r="T27" t="str">
        <f>_xlfn.CONCAT(A27,"&amp;",F27,"&amp;",N27,"&amp;",ROUND(O27,2),"&amp;",S27,"\\\hline")</f>
        <v>5&amp;4.75&amp;3.01&amp;1.74&amp;TRUE\\\hline</v>
      </c>
    </row>
    <row r="28" spans="1:20" x14ac:dyDescent="0.25">
      <c r="A28">
        <v>40</v>
      </c>
      <c r="B28">
        <v>44</v>
      </c>
      <c r="C28" t="s">
        <v>183</v>
      </c>
      <c r="D28">
        <v>38.708839300000001</v>
      </c>
      <c r="E28">
        <v>-9.1302558999999999</v>
      </c>
      <c r="F28">
        <v>8.14</v>
      </c>
      <c r="G28" t="b">
        <v>1</v>
      </c>
      <c r="H28" t="b">
        <v>0</v>
      </c>
      <c r="I28" t="s">
        <v>197</v>
      </c>
      <c r="J28" t="b">
        <v>1</v>
      </c>
      <c r="K28">
        <v>7.1</v>
      </c>
      <c r="L28">
        <f>IF(F28-K28 &gt; 0, F28-K28, (F28-K28)*-1)</f>
        <v>1.0400000000000009</v>
      </c>
      <c r="M28" t="str">
        <f>IF(L28&lt;=2,"Ok",)</f>
        <v>Ok</v>
      </c>
      <c r="N28">
        <v>6.35</v>
      </c>
      <c r="O28">
        <f>IF(F28-N28 &gt; 0, F28-N28, (F28-N28)*-1)</f>
        <v>1.7900000000000009</v>
      </c>
      <c r="P28">
        <v>2</v>
      </c>
      <c r="Q28">
        <f>ROUND(MEDIAN(Table1[Error]),2)</f>
        <v>1.69</v>
      </c>
      <c r="S28" t="b">
        <f t="shared" si="0"/>
        <v>1</v>
      </c>
      <c r="T28" t="str">
        <f>_xlfn.CONCAT(A28,"&amp;",F28,"&amp;",N28,"&amp;",ROUND(O28,2),"&amp;",S28,"\\\hline")</f>
        <v>40&amp;8.14&amp;6.35&amp;1.79&amp;TRUE\\\hline</v>
      </c>
    </row>
    <row r="29" spans="1:20" x14ac:dyDescent="0.25">
      <c r="A29">
        <v>27</v>
      </c>
      <c r="B29">
        <v>31</v>
      </c>
      <c r="C29" t="s">
        <v>170</v>
      </c>
      <c r="D29">
        <v>38.706383799999998</v>
      </c>
      <c r="E29">
        <v>-9.1515526000000005</v>
      </c>
      <c r="F29">
        <v>4.09</v>
      </c>
      <c r="G29" t="b">
        <v>0</v>
      </c>
      <c r="H29" t="b">
        <v>0</v>
      </c>
      <c r="I29" t="s">
        <v>125</v>
      </c>
      <c r="J29" t="b">
        <v>1</v>
      </c>
      <c r="K29">
        <v>0</v>
      </c>
      <c r="L29">
        <f>IF(F29-K29 &gt; 0, F29-K29, (F29-K29)*-1)</f>
        <v>4.09</v>
      </c>
      <c r="N29">
        <v>2.2599999999999998</v>
      </c>
      <c r="O29">
        <f>IF(F29-N29 &gt; 0, F29-N29, (F29-N29)*-1)</f>
        <v>1.83</v>
      </c>
      <c r="P29">
        <v>2</v>
      </c>
      <c r="Q29">
        <f>ROUND(MEDIAN(Table1[Error]),2)</f>
        <v>1.69</v>
      </c>
      <c r="S29" t="b">
        <f t="shared" si="0"/>
        <v>1</v>
      </c>
      <c r="T29" t="str">
        <f>_xlfn.CONCAT(A29,"&amp;",F29,"&amp;",N29,"&amp;",ROUND(O29,2),"&amp;",S29,"\\\hline")</f>
        <v>27&amp;4.09&amp;2.26&amp;1.83&amp;TRUE\\\hline</v>
      </c>
    </row>
    <row r="30" spans="1:20" x14ac:dyDescent="0.25">
      <c r="A30">
        <v>29</v>
      </c>
      <c r="B30">
        <v>33</v>
      </c>
      <c r="C30" t="s">
        <v>172</v>
      </c>
      <c r="D30">
        <v>38.711909900000002</v>
      </c>
      <c r="E30">
        <v>-9.2210069000000008</v>
      </c>
      <c r="F30">
        <v>4.75</v>
      </c>
      <c r="G30" t="b">
        <v>0</v>
      </c>
      <c r="H30" t="b">
        <v>0</v>
      </c>
      <c r="I30" t="s">
        <v>125</v>
      </c>
      <c r="J30" t="b">
        <v>0</v>
      </c>
      <c r="K30">
        <v>2.9</v>
      </c>
      <c r="L30">
        <f>IF(F30-K30 &gt; 0, F30-K30, (F30-K30)*-1)</f>
        <v>1.85</v>
      </c>
      <c r="M30" t="str">
        <f>IF(L30&lt;=2,"Ok",)</f>
        <v>Ok</v>
      </c>
      <c r="N30">
        <v>2.9</v>
      </c>
      <c r="O30">
        <f>IF(F30-N30 &gt; 0, F30-N30, (F30-N30)*-1)</f>
        <v>1.85</v>
      </c>
      <c r="P30">
        <v>2</v>
      </c>
      <c r="Q30">
        <f>ROUND(MEDIAN(Table1[Error]),2)</f>
        <v>1.69</v>
      </c>
      <c r="S30" t="b">
        <f t="shared" si="0"/>
        <v>1</v>
      </c>
      <c r="T30" t="str">
        <f>_xlfn.CONCAT(A30,"&amp;",F30,"&amp;",N30,"&amp;",ROUND(O30,2),"&amp;",S30,"\\\hline")</f>
        <v>29&amp;4.75&amp;2.9&amp;1.85&amp;TRUE\\\hline</v>
      </c>
    </row>
    <row r="31" spans="1:20" x14ac:dyDescent="0.25">
      <c r="A31">
        <v>12</v>
      </c>
      <c r="B31">
        <v>16</v>
      </c>
      <c r="C31" t="s">
        <v>155</v>
      </c>
      <c r="D31">
        <v>38.7155098</v>
      </c>
      <c r="E31">
        <v>-9.1412256000000003</v>
      </c>
      <c r="F31">
        <v>4.1399999999999997</v>
      </c>
      <c r="G31" t="b">
        <v>0</v>
      </c>
      <c r="H31" t="b">
        <v>0</v>
      </c>
      <c r="I31" t="s">
        <v>197</v>
      </c>
      <c r="J31" t="b">
        <v>1</v>
      </c>
      <c r="K31">
        <v>3.01</v>
      </c>
      <c r="L31">
        <f>IF(F31-K31 &gt; 0, F31-K31, (F31-K31)*-1)</f>
        <v>1.1299999999999999</v>
      </c>
      <c r="M31" t="str">
        <f>IF(L31&lt;=2,"Ok",)</f>
        <v>Ok</v>
      </c>
      <c r="N31">
        <v>2.2599999999999998</v>
      </c>
      <c r="O31">
        <f>IF(F31-N31 &gt; 0, F31-N31, (F31-N31)*-1)</f>
        <v>1.88</v>
      </c>
      <c r="P31">
        <v>2</v>
      </c>
      <c r="Q31">
        <f>ROUND(MEDIAN(Table1[Error]),2)</f>
        <v>1.69</v>
      </c>
      <c r="S31" t="b">
        <f t="shared" si="0"/>
        <v>1</v>
      </c>
      <c r="T31" t="str">
        <f>_xlfn.CONCAT(A31,"&amp;",F31,"&amp;",N31,"&amp;",ROUND(O31,2),"&amp;",S31,"\\\hline")</f>
        <v>12&amp;4.14&amp;2.26&amp;1.88&amp;TRUE\\\hline</v>
      </c>
    </row>
    <row r="32" spans="1:20" x14ac:dyDescent="0.25">
      <c r="A32">
        <v>39</v>
      </c>
      <c r="B32">
        <v>43</v>
      </c>
      <c r="C32" t="s">
        <v>182</v>
      </c>
      <c r="D32">
        <v>38.711303700000002</v>
      </c>
      <c r="E32">
        <v>-9.1274320000000007</v>
      </c>
      <c r="F32">
        <v>4.2</v>
      </c>
      <c r="G32" t="b">
        <v>0</v>
      </c>
      <c r="H32" t="b">
        <v>0</v>
      </c>
      <c r="I32" t="s">
        <v>198</v>
      </c>
      <c r="J32" t="b">
        <v>1</v>
      </c>
      <c r="K32">
        <v>2.2599999999999998</v>
      </c>
      <c r="L32">
        <f>IF(F32-K32 &gt; 0, F32-K32, (F32-K32)*-1)</f>
        <v>1.9400000000000004</v>
      </c>
      <c r="M32" t="str">
        <f>IF(L32&lt;=2,"Ok",)</f>
        <v>Ok</v>
      </c>
      <c r="N32">
        <v>2.2599999999999998</v>
      </c>
      <c r="O32">
        <f>IF(F32-N32 &gt; 0, F32-N32, (F32-N32)*-1)</f>
        <v>1.9400000000000004</v>
      </c>
      <c r="P32">
        <v>2</v>
      </c>
      <c r="Q32">
        <f>ROUND(MEDIAN(Table1[Error]),2)</f>
        <v>1.69</v>
      </c>
      <c r="S32" t="b">
        <f t="shared" si="0"/>
        <v>1</v>
      </c>
      <c r="T32" t="str">
        <f>_xlfn.CONCAT(A32,"&amp;",F32,"&amp;",N32,"&amp;",ROUND(O32,2),"&amp;",S32,"\\\hline")</f>
        <v>39&amp;4.2&amp;2.26&amp;1.94&amp;TRUE\\\hline</v>
      </c>
    </row>
    <row r="33" spans="1:20" x14ac:dyDescent="0.25">
      <c r="A33">
        <v>7</v>
      </c>
      <c r="B33">
        <v>11</v>
      </c>
      <c r="C33" t="s">
        <v>150</v>
      </c>
      <c r="D33">
        <v>38.706513600000001</v>
      </c>
      <c r="E33">
        <v>-9.1376293000000004</v>
      </c>
      <c r="F33">
        <v>4.25</v>
      </c>
      <c r="G33" t="b">
        <v>1</v>
      </c>
      <c r="H33" t="b">
        <v>0</v>
      </c>
      <c r="I33" t="s">
        <v>197</v>
      </c>
      <c r="J33" t="b">
        <v>1</v>
      </c>
      <c r="K33">
        <v>7.1</v>
      </c>
      <c r="L33">
        <f>IF(F33-K33 &gt; 0, F33-K33, (F33-K33)*-1)</f>
        <v>2.8499999999999996</v>
      </c>
      <c r="N33">
        <v>2.2599999999999998</v>
      </c>
      <c r="O33">
        <f>IF(F33-N33 &gt; 0, F33-N33, (F33-N33)*-1)</f>
        <v>1.9900000000000002</v>
      </c>
      <c r="P33">
        <v>2</v>
      </c>
      <c r="Q33">
        <f>ROUND(MEDIAN(Table1[Error]),2)</f>
        <v>1.69</v>
      </c>
      <c r="S33" t="b">
        <f t="shared" si="0"/>
        <v>1</v>
      </c>
      <c r="T33" t="str">
        <f>_xlfn.CONCAT(A33,"&amp;",F33,"&amp;",N33,"&amp;",ROUND(O33,2),"&amp;",S33,"\\\hline")</f>
        <v>7&amp;4.25&amp;2.26&amp;1.99&amp;TRUE\\\hline</v>
      </c>
    </row>
    <row r="34" spans="1:20" x14ac:dyDescent="0.25">
      <c r="A34">
        <v>11</v>
      </c>
      <c r="B34">
        <v>15</v>
      </c>
      <c r="C34" t="s">
        <v>154</v>
      </c>
      <c r="D34">
        <v>38.714818200000003</v>
      </c>
      <c r="E34">
        <v>-9.1409409999999998</v>
      </c>
      <c r="F34">
        <v>4.3</v>
      </c>
      <c r="G34" t="b">
        <v>0</v>
      </c>
      <c r="H34" t="b">
        <v>0</v>
      </c>
      <c r="I34" t="s">
        <v>198</v>
      </c>
      <c r="J34" t="b">
        <v>1</v>
      </c>
      <c r="K34">
        <v>2.2599999999999998</v>
      </c>
      <c r="L34">
        <f>IF(F34-K34 &gt; 0, F34-K34, (F34-K34)*-1)</f>
        <v>2.04</v>
      </c>
      <c r="N34">
        <v>2.2599999999999998</v>
      </c>
      <c r="O34">
        <f>IF(F34-N34 &gt; 0, F34-N34, (F34-N34)*-1)</f>
        <v>2.04</v>
      </c>
      <c r="P34">
        <v>2</v>
      </c>
      <c r="Q34">
        <f>ROUND(MEDIAN(Table1[Error]),2)</f>
        <v>1.69</v>
      </c>
      <c r="S34" t="b">
        <f t="shared" si="0"/>
        <v>0</v>
      </c>
      <c r="T34" t="str">
        <f>_xlfn.CONCAT(A34,"&amp;",F34,"&amp;",N34,"&amp;",ROUND(O34,2),"&amp;",S34,"\\\hline")</f>
        <v>11&amp;4.3&amp;2.26&amp;2.04&amp;FALSE\\\hline</v>
      </c>
    </row>
    <row r="35" spans="1:20" x14ac:dyDescent="0.25">
      <c r="A35">
        <v>47</v>
      </c>
      <c r="B35">
        <v>51</v>
      </c>
      <c r="C35" t="s">
        <v>190</v>
      </c>
      <c r="D35">
        <v>38.712603799999997</v>
      </c>
      <c r="E35">
        <v>-9.2191001999999997</v>
      </c>
      <c r="F35">
        <v>5</v>
      </c>
      <c r="G35" t="b">
        <v>0</v>
      </c>
      <c r="H35" t="b">
        <v>0</v>
      </c>
      <c r="I35" t="s">
        <v>125</v>
      </c>
      <c r="J35" t="b">
        <v>0</v>
      </c>
      <c r="K35">
        <v>2.9</v>
      </c>
      <c r="L35">
        <f>IF(F35-K35 &gt; 0, F35-K35, (F35-K35)*-1)</f>
        <v>2.1</v>
      </c>
      <c r="N35">
        <v>2.9</v>
      </c>
      <c r="O35">
        <f>IF(F35-N35 &gt; 0, F35-N35, (F35-N35)*-1)</f>
        <v>2.1</v>
      </c>
      <c r="P35">
        <v>2</v>
      </c>
      <c r="Q35">
        <f>ROUND(MEDIAN(Table1[Error]),2)</f>
        <v>1.69</v>
      </c>
      <c r="S35" t="b">
        <f t="shared" si="0"/>
        <v>0</v>
      </c>
      <c r="T35" t="str">
        <f>_xlfn.CONCAT(A35,"&amp;",F35,"&amp;",N35,"&amp;",ROUND(O35,2),"&amp;",S35,"\\\hline")</f>
        <v>47&amp;5&amp;2.9&amp;2.1&amp;FALSE\\\hline</v>
      </c>
    </row>
    <row r="36" spans="1:20" x14ac:dyDescent="0.25">
      <c r="A36">
        <v>37</v>
      </c>
      <c r="B36">
        <v>41</v>
      </c>
      <c r="C36" t="s">
        <v>180</v>
      </c>
      <c r="D36">
        <v>38.725492500000001</v>
      </c>
      <c r="E36">
        <v>-9.1129856999999994</v>
      </c>
      <c r="F36">
        <v>4.4000000000000004</v>
      </c>
      <c r="G36" t="b">
        <v>0</v>
      </c>
      <c r="H36" t="b">
        <v>0</v>
      </c>
      <c r="I36" t="s">
        <v>198</v>
      </c>
      <c r="J36" t="b">
        <v>1</v>
      </c>
      <c r="K36">
        <v>2.2599999999999998</v>
      </c>
      <c r="L36">
        <f>IF(F36-K36 &gt; 0, F36-K36, (F36-K36)*-1)</f>
        <v>2.1400000000000006</v>
      </c>
      <c r="N36">
        <v>2.2599999999999998</v>
      </c>
      <c r="O36">
        <f>IF(F36-N36 &gt; 0, F36-N36, (F36-N36)*-1)</f>
        <v>2.1400000000000006</v>
      </c>
      <c r="P36">
        <v>2</v>
      </c>
      <c r="Q36">
        <f>ROUND(MEDIAN(Table1[Error]),2)</f>
        <v>1.69</v>
      </c>
      <c r="S36" t="b">
        <f t="shared" si="0"/>
        <v>0</v>
      </c>
      <c r="T36" t="str">
        <f>_xlfn.CONCAT(A36,"&amp;",F36,"&amp;",N36,"&amp;",ROUND(O36,2),"&amp;",S36,"\\\hline")</f>
        <v>37&amp;4.4&amp;2.26&amp;2.14&amp;FALSE\\\hline</v>
      </c>
    </row>
    <row r="37" spans="1:20" x14ac:dyDescent="0.25">
      <c r="A37">
        <v>38</v>
      </c>
      <c r="B37">
        <v>42</v>
      </c>
      <c r="C37" t="s">
        <v>181</v>
      </c>
      <c r="D37">
        <v>38.711568999999997</v>
      </c>
      <c r="E37">
        <v>-9.1270784000000003</v>
      </c>
      <c r="F37">
        <v>5.2</v>
      </c>
      <c r="G37" t="b">
        <v>0</v>
      </c>
      <c r="H37" t="b">
        <v>0</v>
      </c>
      <c r="I37" t="s">
        <v>197</v>
      </c>
      <c r="J37" t="b">
        <v>1</v>
      </c>
      <c r="K37">
        <v>3.01</v>
      </c>
      <c r="L37">
        <f>IF(F37-K37 &gt; 0, F37-K37, (F37-K37)*-1)</f>
        <v>2.1900000000000004</v>
      </c>
      <c r="N37">
        <v>3.01</v>
      </c>
      <c r="O37">
        <f>IF(F37-N37 &gt; 0, F37-N37, (F37-N37)*-1)</f>
        <v>2.1900000000000004</v>
      </c>
      <c r="P37">
        <v>2</v>
      </c>
      <c r="Q37">
        <f>ROUND(MEDIAN(Table1[Error]),2)</f>
        <v>1.69</v>
      </c>
      <c r="S37" t="b">
        <f t="shared" si="0"/>
        <v>0</v>
      </c>
      <c r="T37" t="str">
        <f>_xlfn.CONCAT(A37,"&amp;",F37,"&amp;",N37,"&amp;",ROUND(O37,2),"&amp;",S37,"\\\hline")</f>
        <v>38&amp;5.2&amp;3.01&amp;2.19&amp;FALSE\\\hline</v>
      </c>
    </row>
    <row r="38" spans="1:20" x14ac:dyDescent="0.25">
      <c r="A38">
        <v>14</v>
      </c>
      <c r="B38">
        <v>18</v>
      </c>
      <c r="C38" t="s">
        <v>157</v>
      </c>
      <c r="D38">
        <v>38.7233071</v>
      </c>
      <c r="E38">
        <v>-9.1511911999999995</v>
      </c>
      <c r="F38">
        <v>3.71</v>
      </c>
      <c r="G38" t="b">
        <v>1</v>
      </c>
      <c r="H38" t="b">
        <v>0</v>
      </c>
      <c r="I38" t="s">
        <v>197</v>
      </c>
      <c r="J38" t="b">
        <v>0</v>
      </c>
      <c r="K38">
        <v>10</v>
      </c>
      <c r="L38">
        <f>IF(F38-K38 &gt; 0, F38-K38, (F38-K38)*-1)</f>
        <v>6.29</v>
      </c>
      <c r="N38">
        <v>5.91</v>
      </c>
      <c r="O38">
        <f>IF(F38-N38 &gt; 0, F38-N38, (F38-N38)*-1)</f>
        <v>2.2000000000000002</v>
      </c>
      <c r="P38">
        <v>2</v>
      </c>
      <c r="Q38">
        <f>ROUND(MEDIAN(Table1[Error]),2)</f>
        <v>1.69</v>
      </c>
      <c r="S38" t="b">
        <f t="shared" si="0"/>
        <v>0</v>
      </c>
      <c r="T38" t="str">
        <f>_xlfn.CONCAT(A38,"&amp;",F38,"&amp;",N38,"&amp;",ROUND(O38,2),"&amp;",S38,"\\\hline")</f>
        <v>14&amp;3.71&amp;5.91&amp;2.2&amp;FALSE\\\hline</v>
      </c>
    </row>
    <row r="39" spans="1:20" x14ac:dyDescent="0.25">
      <c r="A39">
        <v>41</v>
      </c>
      <c r="B39">
        <v>45</v>
      </c>
      <c r="C39" t="s">
        <v>184</v>
      </c>
      <c r="D39">
        <v>38.707405199999997</v>
      </c>
      <c r="E39">
        <v>-9.1339226</v>
      </c>
      <c r="F39">
        <v>4.67</v>
      </c>
      <c r="G39" t="b">
        <v>0</v>
      </c>
      <c r="H39" t="b">
        <v>0</v>
      </c>
      <c r="I39" t="s">
        <v>197</v>
      </c>
      <c r="J39" t="b">
        <v>1</v>
      </c>
      <c r="K39">
        <v>3.01</v>
      </c>
      <c r="L39">
        <f>IF(F39-K39 &gt; 0, F39-K39, (F39-K39)*-1)</f>
        <v>1.6600000000000001</v>
      </c>
      <c r="M39" t="str">
        <f>IF(L39&lt;=2,"Ok",)</f>
        <v>Ok</v>
      </c>
      <c r="N39">
        <v>2.2599999999999998</v>
      </c>
      <c r="O39">
        <f>IF(F39-N39 &gt; 0, F39-N39, (F39-N39)*-1)</f>
        <v>2.41</v>
      </c>
      <c r="P39">
        <v>2</v>
      </c>
      <c r="Q39">
        <f>ROUND(MEDIAN(Table1[Error]),2)</f>
        <v>1.69</v>
      </c>
      <c r="S39" t="b">
        <f t="shared" si="0"/>
        <v>0</v>
      </c>
      <c r="T39" t="str">
        <f>_xlfn.CONCAT(A39,"&amp;",F39,"&amp;",N39,"&amp;",ROUND(O39,2),"&amp;",S39,"\\\hline")</f>
        <v>41&amp;4.67&amp;2.26&amp;2.41&amp;FALSE\\\hline</v>
      </c>
    </row>
    <row r="40" spans="1:20" x14ac:dyDescent="0.25">
      <c r="A40">
        <v>48</v>
      </c>
      <c r="B40">
        <v>52</v>
      </c>
      <c r="C40" t="s">
        <v>191</v>
      </c>
      <c r="D40">
        <v>38.735866199999997</v>
      </c>
      <c r="E40">
        <v>-9.1801893000000003</v>
      </c>
      <c r="F40">
        <v>5.67</v>
      </c>
      <c r="G40" t="b">
        <v>0</v>
      </c>
      <c r="H40" t="b">
        <v>0</v>
      </c>
      <c r="I40" t="s">
        <v>125</v>
      </c>
      <c r="J40" t="b">
        <v>0</v>
      </c>
      <c r="K40">
        <v>2.9</v>
      </c>
      <c r="L40">
        <f>IF(F40-K40 &gt; 0, F40-K40, (F40-K40)*-1)</f>
        <v>2.77</v>
      </c>
      <c r="N40">
        <v>2.9</v>
      </c>
      <c r="O40">
        <f>IF(F40-N40 &gt; 0, F40-N40, (F40-N40)*-1)</f>
        <v>2.77</v>
      </c>
      <c r="P40">
        <v>2</v>
      </c>
      <c r="Q40">
        <f>ROUND(MEDIAN(Table1[Error]),2)</f>
        <v>1.69</v>
      </c>
      <c r="S40" t="b">
        <f t="shared" si="0"/>
        <v>0</v>
      </c>
      <c r="T40" t="str">
        <f>_xlfn.CONCAT(A40,"&amp;",F40,"&amp;",N40,"&amp;",ROUND(O40,2),"&amp;",S40,"\\\hline")</f>
        <v>48&amp;5.67&amp;2.9&amp;2.77&amp;FALSE\\\hline</v>
      </c>
    </row>
    <row r="41" spans="1:20" x14ac:dyDescent="0.25">
      <c r="A41">
        <v>46</v>
      </c>
      <c r="B41">
        <v>50</v>
      </c>
      <c r="C41" t="s">
        <v>189</v>
      </c>
      <c r="D41">
        <v>38.712402500000003</v>
      </c>
      <c r="E41">
        <v>-9.2185559999999995</v>
      </c>
      <c r="F41">
        <v>5.75</v>
      </c>
      <c r="G41" t="b">
        <v>0</v>
      </c>
      <c r="H41" t="b">
        <v>0</v>
      </c>
      <c r="I41" t="s">
        <v>125</v>
      </c>
      <c r="J41" t="b">
        <v>0</v>
      </c>
      <c r="K41">
        <v>2.9</v>
      </c>
      <c r="L41">
        <f>IF(F41-K41 &gt; 0, F41-K41, (F41-K41)*-1)</f>
        <v>2.85</v>
      </c>
      <c r="N41">
        <v>2.9</v>
      </c>
      <c r="O41">
        <f>IF(F41-N41 &gt; 0, F41-N41, (F41-N41)*-1)</f>
        <v>2.85</v>
      </c>
      <c r="P41">
        <v>2</v>
      </c>
      <c r="Q41">
        <f>ROUND(MEDIAN(Table1[Error]),2)</f>
        <v>1.69</v>
      </c>
      <c r="S41" t="b">
        <f t="shared" si="0"/>
        <v>0</v>
      </c>
      <c r="T41" t="str">
        <f>_xlfn.CONCAT(A41,"&amp;",F41,"&amp;",N41,"&amp;",ROUND(O41,2),"&amp;",S41,"\\\hline")</f>
        <v>46&amp;5.75&amp;2.9&amp;2.85&amp;FALSE\\\hline</v>
      </c>
    </row>
    <row r="42" spans="1:20" x14ac:dyDescent="0.25">
      <c r="A42">
        <v>13</v>
      </c>
      <c r="B42">
        <v>17</v>
      </c>
      <c r="C42" t="s">
        <v>156</v>
      </c>
      <c r="D42">
        <v>38.719214000000001</v>
      </c>
      <c r="E42">
        <v>-9.1487905999999999</v>
      </c>
      <c r="F42">
        <v>6.25</v>
      </c>
      <c r="G42" t="b">
        <v>0</v>
      </c>
      <c r="H42" t="b">
        <v>0</v>
      </c>
      <c r="I42" t="s">
        <v>125</v>
      </c>
      <c r="J42" t="b">
        <v>0</v>
      </c>
      <c r="K42">
        <v>2.9</v>
      </c>
      <c r="L42">
        <f>IF(F42-K42 &gt; 0, F42-K42, (F42-K42)*-1)</f>
        <v>3.35</v>
      </c>
      <c r="N42">
        <v>2.9</v>
      </c>
      <c r="O42">
        <f>IF(F42-N42 &gt; 0, F42-N42, (F42-N42)*-1)</f>
        <v>3.35</v>
      </c>
      <c r="P42">
        <v>2</v>
      </c>
      <c r="Q42">
        <f>ROUND(MEDIAN(Table1[Error]),2)</f>
        <v>1.69</v>
      </c>
      <c r="S42" t="b">
        <f t="shared" si="0"/>
        <v>0</v>
      </c>
      <c r="T42" t="str">
        <f>_xlfn.CONCAT(A42,"&amp;",F42,"&amp;",N42,"&amp;",ROUND(O42,2),"&amp;",S42,"\\\hline")</f>
        <v>13&amp;6.25&amp;2.9&amp;3.35&amp;FALSE\\\hline</v>
      </c>
    </row>
    <row r="43" spans="1:20" x14ac:dyDescent="0.25">
      <c r="A43">
        <v>32</v>
      </c>
      <c r="B43">
        <v>36</v>
      </c>
      <c r="C43" t="s">
        <v>175</v>
      </c>
      <c r="D43">
        <v>38.775935099999998</v>
      </c>
      <c r="E43">
        <v>-9.0950111000000007</v>
      </c>
      <c r="F43">
        <v>6.36</v>
      </c>
      <c r="G43" t="b">
        <v>0</v>
      </c>
      <c r="H43" t="b">
        <v>0</v>
      </c>
      <c r="I43" t="s">
        <v>197</v>
      </c>
      <c r="J43" t="b">
        <v>0</v>
      </c>
      <c r="K43">
        <v>5.91</v>
      </c>
      <c r="L43">
        <f>IF(F43-K43 &gt; 0, F43-K43, (F43-K43)*-1)</f>
        <v>0.45000000000000018</v>
      </c>
      <c r="M43" t="str">
        <f>IF(L43&lt;=2,"Ok",)</f>
        <v>Ok</v>
      </c>
      <c r="N43">
        <v>10</v>
      </c>
      <c r="O43">
        <f>IF(F43-N43 &gt; 0, F43-N43, (F43-N43)*-1)</f>
        <v>3.6399999999999997</v>
      </c>
      <c r="P43">
        <v>2</v>
      </c>
      <c r="Q43">
        <f>ROUND(MEDIAN(Table1[Error]),2)</f>
        <v>1.69</v>
      </c>
      <c r="S43" t="b">
        <f t="shared" si="0"/>
        <v>0</v>
      </c>
      <c r="T43" t="str">
        <f>_xlfn.CONCAT(A43,"&amp;",F43,"&amp;",N43,"&amp;",ROUND(O43,2),"&amp;",S43,"\\\hline")</f>
        <v>32&amp;6.36&amp;10&amp;3.64&amp;FALSE\\\hline</v>
      </c>
    </row>
    <row r="44" spans="1:20" x14ac:dyDescent="0.25">
      <c r="A44">
        <v>28</v>
      </c>
      <c r="B44">
        <v>32</v>
      </c>
      <c r="C44" t="s">
        <v>171</v>
      </c>
      <c r="D44">
        <v>38.736997100000004</v>
      </c>
      <c r="E44">
        <v>-9.1901875000000004</v>
      </c>
      <c r="F44">
        <v>6.73</v>
      </c>
      <c r="G44" t="b">
        <v>0</v>
      </c>
      <c r="H44" t="b">
        <v>0</v>
      </c>
      <c r="I44" t="s">
        <v>125</v>
      </c>
      <c r="J44" t="b">
        <v>0</v>
      </c>
      <c r="K44">
        <v>2.9</v>
      </c>
      <c r="L44">
        <f>IF(F44-K44 &gt; 0, F44-K44, (F44-K44)*-1)</f>
        <v>3.8300000000000005</v>
      </c>
      <c r="N44">
        <v>2.9</v>
      </c>
      <c r="O44">
        <f>IF(F44-N44 &gt; 0, F44-N44, (F44-N44)*-1)</f>
        <v>3.8300000000000005</v>
      </c>
      <c r="P44">
        <v>2</v>
      </c>
      <c r="Q44">
        <f>ROUND(MEDIAN(Table1[Error]),2)</f>
        <v>1.69</v>
      </c>
      <c r="S44" t="b">
        <f t="shared" si="0"/>
        <v>0</v>
      </c>
      <c r="T44" t="str">
        <f>_xlfn.CONCAT(A44,"&amp;",F44,"&amp;",N44,"&amp;",ROUND(O44,2),"&amp;",S44,"\\\hline")</f>
        <v>28&amp;6.73&amp;2.9&amp;3.83&amp;FALSE\\\hline</v>
      </c>
    </row>
    <row r="45" spans="1:20" x14ac:dyDescent="0.25">
      <c r="A45">
        <v>22</v>
      </c>
      <c r="B45">
        <v>26</v>
      </c>
      <c r="C45" t="s">
        <v>165</v>
      </c>
      <c r="D45">
        <v>38.736588900000001</v>
      </c>
      <c r="E45">
        <v>-9.1338340000000002</v>
      </c>
      <c r="F45">
        <v>6</v>
      </c>
      <c r="G45" t="b">
        <v>1</v>
      </c>
      <c r="H45" t="b">
        <v>0</v>
      </c>
      <c r="I45" t="s">
        <v>197</v>
      </c>
      <c r="J45" t="b">
        <v>0</v>
      </c>
      <c r="K45">
        <v>10</v>
      </c>
      <c r="L45">
        <f>IF(F45-K45 &gt; 0, F45-K45, (F45-K45)*-1)</f>
        <v>4</v>
      </c>
      <c r="N45">
        <v>10</v>
      </c>
      <c r="O45">
        <f>IF(F45-N45 &gt; 0, F45-N45, (F45-N45)*-1)</f>
        <v>4</v>
      </c>
      <c r="P45">
        <v>2</v>
      </c>
      <c r="Q45">
        <f>ROUND(MEDIAN(Table1[Error]),2)</f>
        <v>1.69</v>
      </c>
      <c r="S45" t="b">
        <f t="shared" si="0"/>
        <v>0</v>
      </c>
      <c r="T45" t="str">
        <f>_xlfn.CONCAT(A45,"&amp;",F45,"&amp;",N45,"&amp;",ROUND(O45,2),"&amp;",S45,"\\\hline")</f>
        <v>22&amp;6&amp;10&amp;4&amp;FALSE\\\hline</v>
      </c>
    </row>
    <row r="46" spans="1:20" x14ac:dyDescent="0.25">
      <c r="A46">
        <v>16</v>
      </c>
      <c r="B46">
        <v>20</v>
      </c>
      <c r="C46" t="s">
        <v>159</v>
      </c>
      <c r="D46">
        <v>38.7456788</v>
      </c>
      <c r="E46">
        <v>-9.1476092999999992</v>
      </c>
      <c r="F46">
        <v>2.92</v>
      </c>
      <c r="G46" t="b">
        <v>1</v>
      </c>
      <c r="H46" t="b">
        <v>0</v>
      </c>
      <c r="I46" t="s">
        <v>197</v>
      </c>
      <c r="J46" t="b">
        <v>1</v>
      </c>
      <c r="K46">
        <v>7.1</v>
      </c>
      <c r="L46">
        <f>IF(F46-K46 &gt; 0, F46-K46, (F46-K46)*-1)</f>
        <v>4.18</v>
      </c>
      <c r="N46">
        <v>7.1</v>
      </c>
      <c r="O46">
        <f>IF(F46-N46 &gt; 0, F46-N46, (F46-N46)*-1)</f>
        <v>4.18</v>
      </c>
      <c r="P46">
        <v>2</v>
      </c>
      <c r="Q46">
        <f>ROUND(MEDIAN(Table1[Error]),2)</f>
        <v>1.69</v>
      </c>
      <c r="S46" t="b">
        <f t="shared" si="0"/>
        <v>0</v>
      </c>
      <c r="T46" t="str">
        <f>_xlfn.CONCAT(A46,"&amp;",F46,"&amp;",N46,"&amp;",ROUND(O46,2),"&amp;",S46,"\\\hline")</f>
        <v>16&amp;2.92&amp;7.1&amp;4.18&amp;FALSE\\\hline</v>
      </c>
    </row>
    <row r="47" spans="1:20" x14ac:dyDescent="0.25">
      <c r="A47">
        <v>3</v>
      </c>
      <c r="B47">
        <v>7</v>
      </c>
      <c r="C47" t="s">
        <v>146</v>
      </c>
      <c r="D47">
        <v>38.736943799999999</v>
      </c>
      <c r="E47">
        <v>-9.1900867000000002</v>
      </c>
      <c r="F47">
        <v>7.38</v>
      </c>
      <c r="G47" t="b">
        <v>1</v>
      </c>
      <c r="H47" t="b">
        <v>0</v>
      </c>
      <c r="I47" t="s">
        <v>125</v>
      </c>
      <c r="J47" t="b">
        <v>0</v>
      </c>
      <c r="K47">
        <v>6.99</v>
      </c>
      <c r="L47">
        <f>IF(F47-K47 &gt; 0, F47-K47, (F47-K47)*-1)</f>
        <v>0.38999999999999968</v>
      </c>
      <c r="M47" t="str">
        <f>IF(L47&lt;=2,"Ok",)</f>
        <v>Ok</v>
      </c>
      <c r="N47">
        <v>2.9</v>
      </c>
      <c r="O47">
        <f>IF(F47-N47 &gt; 0, F47-N47, (F47-N47)*-1)</f>
        <v>4.4800000000000004</v>
      </c>
      <c r="P47">
        <v>2</v>
      </c>
      <c r="Q47">
        <f>ROUND(MEDIAN(Table1[Error]),2)</f>
        <v>1.69</v>
      </c>
      <c r="S47" t="b">
        <f t="shared" si="0"/>
        <v>0</v>
      </c>
      <c r="T47" t="str">
        <f>_xlfn.CONCAT(A47,"&amp;",F47,"&amp;",N47,"&amp;",ROUND(O47,2),"&amp;",S47,"\\\hline")</f>
        <v>3&amp;7.38&amp;2.9&amp;4.48&amp;FALSE\\\hline</v>
      </c>
    </row>
    <row r="48" spans="1:20" x14ac:dyDescent="0.25">
      <c r="A48">
        <v>30</v>
      </c>
      <c r="B48">
        <v>34</v>
      </c>
      <c r="C48" t="s">
        <v>173</v>
      </c>
      <c r="D48">
        <v>38.704014600000001</v>
      </c>
      <c r="E48">
        <v>-9.2249630000000007</v>
      </c>
      <c r="F48">
        <v>5.62</v>
      </c>
      <c r="G48" t="b">
        <v>0</v>
      </c>
      <c r="H48" t="b">
        <v>0</v>
      </c>
      <c r="I48" t="s">
        <v>125</v>
      </c>
      <c r="J48" t="b">
        <v>1</v>
      </c>
      <c r="K48">
        <v>0</v>
      </c>
      <c r="L48">
        <f>IF(F48-K48 &gt; 0, F48-K48, (F48-K48)*-1)</f>
        <v>5.62</v>
      </c>
      <c r="N48">
        <v>0</v>
      </c>
      <c r="O48">
        <f>IF(F48-N48 &gt; 0, F48-N48, (F48-N48)*-1)</f>
        <v>5.62</v>
      </c>
      <c r="P48">
        <v>2</v>
      </c>
      <c r="Q48">
        <f>ROUND(MEDIAN(Table1[Error]),2)</f>
        <v>1.69</v>
      </c>
      <c r="S48" t="b">
        <f t="shared" si="0"/>
        <v>0</v>
      </c>
      <c r="T48" t="str">
        <f>_xlfn.CONCAT(A48,"&amp;",F48,"&amp;",N48,"&amp;",ROUND(O48,2),"&amp;",S48,"\\\hline")</f>
        <v>30&amp;5.62&amp;0&amp;5.62&amp;FALSE\\\hline</v>
      </c>
    </row>
    <row r="49" spans="1:20" x14ac:dyDescent="0.25">
      <c r="A49">
        <v>9</v>
      </c>
      <c r="B49">
        <v>13</v>
      </c>
      <c r="C49" t="s">
        <v>152</v>
      </c>
      <c r="D49">
        <v>38.708789400000001</v>
      </c>
      <c r="E49">
        <v>-9.1487912999999992</v>
      </c>
      <c r="F49">
        <v>2.57</v>
      </c>
      <c r="G49" t="b">
        <v>1</v>
      </c>
      <c r="H49" t="b">
        <v>0</v>
      </c>
      <c r="I49" t="s">
        <v>198</v>
      </c>
      <c r="J49" t="b">
        <v>0</v>
      </c>
      <c r="K49">
        <v>9.25</v>
      </c>
      <c r="L49">
        <f>IF(F49-K49 &gt; 0, F49-K49, (F49-K49)*-1)</f>
        <v>6.68</v>
      </c>
      <c r="N49">
        <v>9.25</v>
      </c>
      <c r="O49">
        <f>IF(F49-N49 &gt; 0, F49-N49, (F49-N49)*-1)</f>
        <v>6.68</v>
      </c>
      <c r="P49">
        <v>2</v>
      </c>
      <c r="Q49">
        <f>ROUND(MEDIAN(Table1[Error]),2)</f>
        <v>1.69</v>
      </c>
      <c r="S49" t="b">
        <f t="shared" si="0"/>
        <v>0</v>
      </c>
      <c r="T49" t="str">
        <f>_xlfn.CONCAT(A49,"&amp;",F49,"&amp;",N49,"&amp;",ROUND(O49,2),"&amp;",S49,"\\\hline")</f>
        <v>9&amp;2.57&amp;9.25&amp;6.68&amp;FALSE\\\hline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6F42-92EC-40B7-BB5E-0EB789891BA9}">
  <dimension ref="A1:T56"/>
  <sheetViews>
    <sheetView topLeftCell="B37" workbookViewId="0">
      <selection activeCell="P52" sqref="P52:T56"/>
    </sheetView>
  </sheetViews>
  <sheetFormatPr defaultRowHeight="15" x14ac:dyDescent="0.25"/>
  <cols>
    <col min="1" max="2" width="14.140625" bestFit="1" customWidth="1"/>
    <col min="4" max="4" width="12.42578125" bestFit="1" customWidth="1"/>
    <col min="5" max="6" width="17" bestFit="1" customWidth="1"/>
    <col min="7" max="9" width="17" customWidth="1"/>
    <col min="11" max="11" width="16.28515625" bestFit="1" customWidth="1"/>
    <col min="14" max="17" width="12.7109375" customWidth="1"/>
  </cols>
  <sheetData>
    <row r="1" spans="1:12" x14ac:dyDescent="0.25">
      <c r="A1" t="s">
        <v>142</v>
      </c>
      <c r="C1" t="s">
        <v>200</v>
      </c>
      <c r="D1" t="s">
        <v>216</v>
      </c>
      <c r="E1" t="s">
        <v>202</v>
      </c>
      <c r="F1" t="s">
        <v>203</v>
      </c>
      <c r="H1" t="s">
        <v>204</v>
      </c>
    </row>
    <row r="2" spans="1:12" x14ac:dyDescent="0.25">
      <c r="A2">
        <v>1</v>
      </c>
      <c r="B2" t="s">
        <v>144</v>
      </c>
      <c r="C2" t="s">
        <v>197</v>
      </c>
      <c r="D2" t="s">
        <v>197</v>
      </c>
      <c r="E2" t="b">
        <f>C2=D2</f>
        <v>1</v>
      </c>
      <c r="F2" t="s">
        <v>197</v>
      </c>
      <c r="G2" t="b">
        <f>F2=D2</f>
        <v>1</v>
      </c>
      <c r="H2" t="str">
        <f>_xlfn.CONCAT(A2,"&amp;",D2,"&amp;",F2,"&amp;",C2,",""\\\hline")</f>
        <v>1&amp;asphalt&amp;asphalt&amp;asphalt,"\\\hline</v>
      </c>
      <c r="K2">
        <f>COUNTIF(E2:E49,"TRUE")</f>
        <v>43</v>
      </c>
      <c r="L2">
        <f>COUNTIF(E2:E49,"TRUE")/48</f>
        <v>0.89583333333333337</v>
      </c>
    </row>
    <row r="3" spans="1:12" x14ac:dyDescent="0.25">
      <c r="A3">
        <v>2</v>
      </c>
      <c r="B3" t="s">
        <v>145</v>
      </c>
      <c r="C3" t="s">
        <v>197</v>
      </c>
      <c r="D3" t="s">
        <v>197</v>
      </c>
      <c r="E3" t="b">
        <f t="shared" ref="E3:E49" si="0">C3=D3</f>
        <v>1</v>
      </c>
      <c r="F3" t="s">
        <v>197</v>
      </c>
      <c r="G3" t="b">
        <f t="shared" ref="G3:G49" si="1">F3=D3</f>
        <v>1</v>
      </c>
      <c r="H3" t="str">
        <f t="shared" ref="H3:H49" si="2">_xlfn.CONCAT(A3,"&amp;",D3,"&amp;",F3,"&amp;",C3,",""\\\hline")</f>
        <v>2&amp;asphalt&amp;asphalt&amp;asphalt,"\\\hline</v>
      </c>
    </row>
    <row r="4" spans="1:12" x14ac:dyDescent="0.25">
      <c r="A4">
        <v>3</v>
      </c>
      <c r="B4" t="s">
        <v>146</v>
      </c>
      <c r="C4" t="s">
        <v>125</v>
      </c>
      <c r="D4" t="s">
        <v>125</v>
      </c>
      <c r="E4" t="b">
        <f t="shared" si="0"/>
        <v>1</v>
      </c>
      <c r="F4" t="s">
        <v>125</v>
      </c>
      <c r="G4" t="b">
        <f t="shared" si="1"/>
        <v>1</v>
      </c>
      <c r="H4" t="str">
        <f t="shared" si="2"/>
        <v>3&amp;unpaved&amp;unpaved&amp;unpaved,"\\\hline</v>
      </c>
    </row>
    <row r="5" spans="1:12" x14ac:dyDescent="0.25">
      <c r="A5">
        <v>4</v>
      </c>
      <c r="B5" t="s">
        <v>147</v>
      </c>
      <c r="C5" t="s">
        <v>197</v>
      </c>
      <c r="D5" t="s">
        <v>197</v>
      </c>
      <c r="E5" t="b">
        <f t="shared" si="0"/>
        <v>1</v>
      </c>
      <c r="F5" t="s">
        <v>197</v>
      </c>
      <c r="G5" t="b">
        <f t="shared" si="1"/>
        <v>1</v>
      </c>
      <c r="H5" t="str">
        <f t="shared" si="2"/>
        <v>4&amp;asphalt&amp;asphalt&amp;asphalt,"\\\hline</v>
      </c>
    </row>
    <row r="6" spans="1:12" x14ac:dyDescent="0.25">
      <c r="A6">
        <v>5</v>
      </c>
      <c r="B6" t="s">
        <v>148</v>
      </c>
      <c r="C6" t="s">
        <v>197</v>
      </c>
      <c r="D6" t="s">
        <v>197</v>
      </c>
      <c r="E6" t="b">
        <f t="shared" si="0"/>
        <v>1</v>
      </c>
      <c r="F6" t="s">
        <v>197</v>
      </c>
      <c r="G6" t="b">
        <f t="shared" si="1"/>
        <v>1</v>
      </c>
      <c r="H6" t="str">
        <f t="shared" si="2"/>
        <v>5&amp;asphalt&amp;asphalt&amp;asphalt,"\\\hline</v>
      </c>
    </row>
    <row r="7" spans="1:12" x14ac:dyDescent="0.25">
      <c r="A7">
        <v>6</v>
      </c>
      <c r="B7" t="s">
        <v>149</v>
      </c>
      <c r="C7" t="s">
        <v>197</v>
      </c>
      <c r="D7" t="s">
        <v>197</v>
      </c>
      <c r="E7" t="b">
        <f t="shared" si="0"/>
        <v>1</v>
      </c>
      <c r="F7" t="s">
        <v>197</v>
      </c>
      <c r="G7" t="b">
        <f t="shared" si="1"/>
        <v>1</v>
      </c>
      <c r="H7" t="str">
        <f t="shared" si="2"/>
        <v>6&amp;asphalt&amp;asphalt&amp;asphalt,"\\\hline</v>
      </c>
    </row>
    <row r="8" spans="1:12" x14ac:dyDescent="0.25">
      <c r="A8">
        <v>7</v>
      </c>
      <c r="B8" t="s">
        <v>150</v>
      </c>
      <c r="C8" t="s">
        <v>198</v>
      </c>
      <c r="D8" t="s">
        <v>198</v>
      </c>
      <c r="E8" t="b">
        <f t="shared" si="0"/>
        <v>1</v>
      </c>
      <c r="F8" t="s">
        <v>198</v>
      </c>
      <c r="G8" t="b">
        <f t="shared" si="1"/>
        <v>1</v>
      </c>
      <c r="H8" t="str">
        <f t="shared" si="2"/>
        <v>7&amp;cobblestone&amp;cobblestone&amp;cobblestone,"\\\hline</v>
      </c>
    </row>
    <row r="9" spans="1:12" x14ac:dyDescent="0.25">
      <c r="A9">
        <v>8</v>
      </c>
      <c r="B9" t="s">
        <v>151</v>
      </c>
      <c r="C9" t="s">
        <v>197</v>
      </c>
      <c r="D9" t="s">
        <v>197</v>
      </c>
      <c r="E9" t="b">
        <f t="shared" si="0"/>
        <v>1</v>
      </c>
      <c r="F9" t="s">
        <v>197</v>
      </c>
      <c r="G9" t="b">
        <f t="shared" si="1"/>
        <v>1</v>
      </c>
      <c r="H9" t="str">
        <f t="shared" si="2"/>
        <v>8&amp;asphalt&amp;asphalt&amp;asphalt,"\\\hline</v>
      </c>
    </row>
    <row r="10" spans="1:12" x14ac:dyDescent="0.25">
      <c r="A10">
        <v>9</v>
      </c>
      <c r="B10" t="s">
        <v>152</v>
      </c>
      <c r="C10" t="s">
        <v>198</v>
      </c>
      <c r="D10" t="s">
        <v>197</v>
      </c>
      <c r="E10" t="b">
        <f t="shared" si="0"/>
        <v>0</v>
      </c>
      <c r="F10" t="s">
        <v>197</v>
      </c>
      <c r="G10" t="b">
        <f t="shared" si="1"/>
        <v>1</v>
      </c>
      <c r="H10" t="str">
        <f t="shared" si="2"/>
        <v>9&amp;asphalt&amp;asphalt&amp;cobblestone,"\\\hline</v>
      </c>
    </row>
    <row r="11" spans="1:12" x14ac:dyDescent="0.25">
      <c r="A11">
        <v>10</v>
      </c>
      <c r="B11" t="s">
        <v>153</v>
      </c>
      <c r="C11" t="s">
        <v>198</v>
      </c>
      <c r="D11" t="s">
        <v>198</v>
      </c>
      <c r="E11" t="b">
        <f t="shared" si="0"/>
        <v>1</v>
      </c>
      <c r="F11" t="s">
        <v>198</v>
      </c>
      <c r="G11" t="b">
        <f t="shared" si="1"/>
        <v>1</v>
      </c>
      <c r="H11" t="str">
        <f t="shared" si="2"/>
        <v>10&amp;cobblestone&amp;cobblestone&amp;cobblestone,"\\\hline</v>
      </c>
    </row>
    <row r="12" spans="1:12" x14ac:dyDescent="0.25">
      <c r="A12">
        <v>11</v>
      </c>
      <c r="B12" t="s">
        <v>154</v>
      </c>
      <c r="C12" t="s">
        <v>198</v>
      </c>
      <c r="D12" t="s">
        <v>198</v>
      </c>
      <c r="E12" t="b">
        <f t="shared" si="0"/>
        <v>1</v>
      </c>
      <c r="F12" t="s">
        <v>198</v>
      </c>
      <c r="G12" t="b">
        <f t="shared" si="1"/>
        <v>1</v>
      </c>
      <c r="H12" t="str">
        <f t="shared" si="2"/>
        <v>11&amp;cobblestone&amp;cobblestone&amp;cobblestone,"\\\hline</v>
      </c>
    </row>
    <row r="13" spans="1:12" x14ac:dyDescent="0.25">
      <c r="A13">
        <v>12</v>
      </c>
      <c r="B13" t="s">
        <v>155</v>
      </c>
      <c r="C13" t="s">
        <v>197</v>
      </c>
      <c r="D13" t="s">
        <v>197</v>
      </c>
      <c r="E13" t="b">
        <f t="shared" si="0"/>
        <v>1</v>
      </c>
      <c r="F13" t="s">
        <v>197</v>
      </c>
      <c r="G13" t="b">
        <f t="shared" si="1"/>
        <v>1</v>
      </c>
      <c r="H13" t="str">
        <f t="shared" si="2"/>
        <v>12&amp;asphalt&amp;asphalt&amp;asphalt,"\\\hline</v>
      </c>
    </row>
    <row r="14" spans="1:12" x14ac:dyDescent="0.25">
      <c r="A14">
        <v>13</v>
      </c>
      <c r="B14" t="s">
        <v>156</v>
      </c>
      <c r="C14" t="s">
        <v>125</v>
      </c>
      <c r="D14" t="s">
        <v>125</v>
      </c>
      <c r="E14" t="b">
        <f t="shared" si="0"/>
        <v>1</v>
      </c>
      <c r="F14" t="s">
        <v>125</v>
      </c>
      <c r="G14" t="b">
        <f t="shared" si="1"/>
        <v>1</v>
      </c>
      <c r="H14" t="str">
        <f t="shared" si="2"/>
        <v>13&amp;unpaved&amp;unpaved&amp;unpaved,"\\\hline</v>
      </c>
    </row>
    <row r="15" spans="1:12" x14ac:dyDescent="0.25">
      <c r="A15">
        <v>14</v>
      </c>
      <c r="B15" t="s">
        <v>157</v>
      </c>
      <c r="C15" t="s">
        <v>197</v>
      </c>
      <c r="D15" t="s">
        <v>197</v>
      </c>
      <c r="E15" t="b">
        <f t="shared" si="0"/>
        <v>1</v>
      </c>
      <c r="F15" t="s">
        <v>197</v>
      </c>
      <c r="G15" t="b">
        <f t="shared" si="1"/>
        <v>1</v>
      </c>
      <c r="H15" t="str">
        <f t="shared" si="2"/>
        <v>14&amp;asphalt&amp;asphalt&amp;asphalt,"\\\hline</v>
      </c>
    </row>
    <row r="16" spans="1:12" x14ac:dyDescent="0.25">
      <c r="A16">
        <v>15</v>
      </c>
      <c r="B16" t="s">
        <v>158</v>
      </c>
      <c r="C16" t="s">
        <v>125</v>
      </c>
      <c r="D16" t="s">
        <v>125</v>
      </c>
      <c r="E16" t="b">
        <f t="shared" si="0"/>
        <v>1</v>
      </c>
      <c r="F16" t="s">
        <v>125</v>
      </c>
      <c r="G16" t="b">
        <f t="shared" si="1"/>
        <v>1</v>
      </c>
      <c r="H16" t="str">
        <f t="shared" si="2"/>
        <v>15&amp;unpaved&amp;unpaved&amp;unpaved,"\\\hline</v>
      </c>
    </row>
    <row r="17" spans="1:8" x14ac:dyDescent="0.25">
      <c r="A17">
        <v>16</v>
      </c>
      <c r="B17" t="s">
        <v>159</v>
      </c>
      <c r="C17" t="s">
        <v>197</v>
      </c>
      <c r="D17" t="s">
        <v>197</v>
      </c>
      <c r="E17" t="b">
        <f t="shared" si="0"/>
        <v>1</v>
      </c>
      <c r="F17" t="s">
        <v>197</v>
      </c>
      <c r="G17" t="b">
        <f t="shared" si="1"/>
        <v>1</v>
      </c>
      <c r="H17" t="str">
        <f t="shared" si="2"/>
        <v>16&amp;asphalt&amp;asphalt&amp;asphalt,"\\\hline</v>
      </c>
    </row>
    <row r="18" spans="1:8" x14ac:dyDescent="0.25">
      <c r="A18">
        <v>17</v>
      </c>
      <c r="B18" t="s">
        <v>160</v>
      </c>
      <c r="C18" t="s">
        <v>197</v>
      </c>
      <c r="D18" t="s">
        <v>197</v>
      </c>
      <c r="E18" t="b">
        <f t="shared" si="0"/>
        <v>1</v>
      </c>
      <c r="F18" t="s">
        <v>197</v>
      </c>
      <c r="G18" t="b">
        <f t="shared" si="1"/>
        <v>1</v>
      </c>
      <c r="H18" t="str">
        <f t="shared" si="2"/>
        <v>17&amp;asphalt&amp;asphalt&amp;asphalt,"\\\hline</v>
      </c>
    </row>
    <row r="19" spans="1:8" x14ac:dyDescent="0.25">
      <c r="A19">
        <v>18</v>
      </c>
      <c r="B19" t="s">
        <v>161</v>
      </c>
      <c r="C19" t="s">
        <v>197</v>
      </c>
      <c r="D19" t="s">
        <v>197</v>
      </c>
      <c r="E19" t="b">
        <f t="shared" si="0"/>
        <v>1</v>
      </c>
      <c r="F19" t="s">
        <v>197</v>
      </c>
      <c r="G19" t="b">
        <f t="shared" si="1"/>
        <v>1</v>
      </c>
      <c r="H19" t="str">
        <f t="shared" si="2"/>
        <v>18&amp;asphalt&amp;asphalt&amp;asphalt,"\\\hline</v>
      </c>
    </row>
    <row r="20" spans="1:8" x14ac:dyDescent="0.25">
      <c r="A20">
        <v>19</v>
      </c>
      <c r="B20" t="s">
        <v>162</v>
      </c>
      <c r="C20" t="s">
        <v>198</v>
      </c>
      <c r="D20" t="s">
        <v>198</v>
      </c>
      <c r="E20" t="b">
        <f t="shared" si="0"/>
        <v>1</v>
      </c>
      <c r="F20" t="s">
        <v>197</v>
      </c>
      <c r="G20" t="b">
        <f t="shared" si="1"/>
        <v>0</v>
      </c>
      <c r="H20" t="str">
        <f t="shared" si="2"/>
        <v>19&amp;cobblestone&amp;asphalt&amp;cobblestone,"\\\hline</v>
      </c>
    </row>
    <row r="21" spans="1:8" x14ac:dyDescent="0.25">
      <c r="A21">
        <v>20</v>
      </c>
      <c r="B21" t="s">
        <v>163</v>
      </c>
      <c r="C21" t="s">
        <v>197</v>
      </c>
      <c r="D21" t="s">
        <v>197</v>
      </c>
      <c r="E21" t="b">
        <f t="shared" si="0"/>
        <v>1</v>
      </c>
      <c r="F21" t="s">
        <v>197</v>
      </c>
      <c r="G21" t="b">
        <f t="shared" si="1"/>
        <v>1</v>
      </c>
      <c r="H21" t="str">
        <f t="shared" si="2"/>
        <v>20&amp;asphalt&amp;asphalt&amp;asphalt,"\\\hline</v>
      </c>
    </row>
    <row r="22" spans="1:8" x14ac:dyDescent="0.25">
      <c r="A22">
        <v>21</v>
      </c>
      <c r="B22" t="s">
        <v>164</v>
      </c>
      <c r="C22" t="s">
        <v>197</v>
      </c>
      <c r="D22" t="s">
        <v>197</v>
      </c>
      <c r="E22" t="b">
        <f t="shared" si="0"/>
        <v>1</v>
      </c>
      <c r="F22" t="s">
        <v>197</v>
      </c>
      <c r="G22" t="b">
        <f t="shared" si="1"/>
        <v>1</v>
      </c>
      <c r="H22" t="str">
        <f t="shared" si="2"/>
        <v>21&amp;asphalt&amp;asphalt&amp;asphalt,"\\\hline</v>
      </c>
    </row>
    <row r="23" spans="1:8" x14ac:dyDescent="0.25">
      <c r="A23">
        <v>22</v>
      </c>
      <c r="B23" t="s">
        <v>165</v>
      </c>
      <c r="C23" t="s">
        <v>197</v>
      </c>
      <c r="D23" t="s">
        <v>197</v>
      </c>
      <c r="E23" t="b">
        <f t="shared" si="0"/>
        <v>1</v>
      </c>
      <c r="F23" t="s">
        <v>197</v>
      </c>
      <c r="G23" t="b">
        <f t="shared" si="1"/>
        <v>1</v>
      </c>
      <c r="H23" t="str">
        <f t="shared" si="2"/>
        <v>22&amp;asphalt&amp;asphalt&amp;asphalt,"\\\hline</v>
      </c>
    </row>
    <row r="24" spans="1:8" x14ac:dyDescent="0.25">
      <c r="A24">
        <v>23</v>
      </c>
      <c r="B24" t="s">
        <v>166</v>
      </c>
      <c r="C24" t="s">
        <v>198</v>
      </c>
      <c r="D24" t="s">
        <v>198</v>
      </c>
      <c r="E24" t="b">
        <f t="shared" si="0"/>
        <v>1</v>
      </c>
      <c r="F24" t="s">
        <v>198</v>
      </c>
      <c r="G24" t="b">
        <f t="shared" si="1"/>
        <v>1</v>
      </c>
      <c r="H24" t="str">
        <f t="shared" si="2"/>
        <v>23&amp;cobblestone&amp;cobblestone&amp;cobblestone,"\\\hline</v>
      </c>
    </row>
    <row r="25" spans="1:8" x14ac:dyDescent="0.25">
      <c r="A25">
        <v>24</v>
      </c>
      <c r="B25" t="s">
        <v>167</v>
      </c>
      <c r="C25" t="s">
        <v>198</v>
      </c>
      <c r="D25" t="s">
        <v>198</v>
      </c>
      <c r="E25" t="b">
        <f t="shared" si="0"/>
        <v>1</v>
      </c>
      <c r="F25" t="s">
        <v>198</v>
      </c>
      <c r="G25" t="b">
        <f t="shared" si="1"/>
        <v>1</v>
      </c>
      <c r="H25" t="str">
        <f t="shared" si="2"/>
        <v>24&amp;cobblestone&amp;cobblestone&amp;cobblestone,"\\\hline</v>
      </c>
    </row>
    <row r="26" spans="1:8" x14ac:dyDescent="0.25">
      <c r="A26">
        <v>25</v>
      </c>
      <c r="B26" t="s">
        <v>168</v>
      </c>
      <c r="C26" t="s">
        <v>197</v>
      </c>
      <c r="D26" t="s">
        <v>197</v>
      </c>
      <c r="E26" t="b">
        <f t="shared" si="0"/>
        <v>1</v>
      </c>
      <c r="F26" t="s">
        <v>197</v>
      </c>
      <c r="G26" t="b">
        <f t="shared" si="1"/>
        <v>1</v>
      </c>
      <c r="H26" t="str">
        <f t="shared" si="2"/>
        <v>25&amp;asphalt&amp;asphalt&amp;asphalt,"\\\hline</v>
      </c>
    </row>
    <row r="27" spans="1:8" x14ac:dyDescent="0.25">
      <c r="A27">
        <v>26</v>
      </c>
      <c r="B27" t="s">
        <v>169</v>
      </c>
      <c r="C27" t="s">
        <v>197</v>
      </c>
      <c r="D27" t="s">
        <v>197</v>
      </c>
      <c r="E27" t="b">
        <f t="shared" si="0"/>
        <v>1</v>
      </c>
      <c r="F27" t="s">
        <v>197</v>
      </c>
      <c r="G27" t="b">
        <f t="shared" si="1"/>
        <v>1</v>
      </c>
      <c r="H27" t="str">
        <f t="shared" si="2"/>
        <v>26&amp;asphalt&amp;asphalt&amp;asphalt,"\\\hline</v>
      </c>
    </row>
    <row r="28" spans="1:8" x14ac:dyDescent="0.25">
      <c r="A28">
        <v>27</v>
      </c>
      <c r="B28" t="s">
        <v>170</v>
      </c>
      <c r="C28" t="s">
        <v>198</v>
      </c>
      <c r="D28" t="s">
        <v>197</v>
      </c>
      <c r="E28" t="b">
        <f t="shared" si="0"/>
        <v>0</v>
      </c>
      <c r="F28" t="s">
        <v>197</v>
      </c>
      <c r="G28" t="b">
        <f t="shared" si="1"/>
        <v>1</v>
      </c>
      <c r="H28" t="str">
        <f t="shared" si="2"/>
        <v>27&amp;asphalt&amp;asphalt&amp;cobblestone,"\\\hline</v>
      </c>
    </row>
    <row r="29" spans="1:8" x14ac:dyDescent="0.25">
      <c r="A29">
        <v>28</v>
      </c>
      <c r="B29" t="s">
        <v>171</v>
      </c>
      <c r="C29" t="s">
        <v>125</v>
      </c>
      <c r="D29" t="s">
        <v>125</v>
      </c>
      <c r="E29" t="b">
        <f t="shared" si="0"/>
        <v>1</v>
      </c>
      <c r="F29" t="s">
        <v>125</v>
      </c>
      <c r="G29" t="b">
        <f t="shared" si="1"/>
        <v>1</v>
      </c>
      <c r="H29" t="str">
        <f t="shared" si="2"/>
        <v>28&amp;unpaved&amp;unpaved&amp;unpaved,"\\\hline</v>
      </c>
    </row>
    <row r="30" spans="1:8" x14ac:dyDescent="0.25">
      <c r="A30">
        <v>29</v>
      </c>
      <c r="B30" t="s">
        <v>172</v>
      </c>
      <c r="C30" t="s">
        <v>125</v>
      </c>
      <c r="D30" t="s">
        <v>125</v>
      </c>
      <c r="E30" t="b">
        <f t="shared" si="0"/>
        <v>1</v>
      </c>
      <c r="F30" t="s">
        <v>125</v>
      </c>
      <c r="G30" t="b">
        <f t="shared" si="1"/>
        <v>1</v>
      </c>
      <c r="H30" t="str">
        <f t="shared" si="2"/>
        <v>29&amp;unpaved&amp;unpaved&amp;unpaved,"\\\hline</v>
      </c>
    </row>
    <row r="31" spans="1:8" x14ac:dyDescent="0.25">
      <c r="A31">
        <v>30</v>
      </c>
      <c r="B31" t="s">
        <v>173</v>
      </c>
      <c r="C31" t="s">
        <v>125</v>
      </c>
      <c r="D31" t="s">
        <v>125</v>
      </c>
      <c r="E31" t="b">
        <f t="shared" si="0"/>
        <v>1</v>
      </c>
      <c r="F31" t="s">
        <v>125</v>
      </c>
      <c r="G31" t="b">
        <f t="shared" si="1"/>
        <v>1</v>
      </c>
      <c r="H31" t="str">
        <f t="shared" si="2"/>
        <v>30&amp;unpaved&amp;unpaved&amp;unpaved,"\\\hline</v>
      </c>
    </row>
    <row r="32" spans="1:8" x14ac:dyDescent="0.25">
      <c r="A32">
        <v>31</v>
      </c>
      <c r="B32" t="s">
        <v>174</v>
      </c>
      <c r="C32" t="s">
        <v>198</v>
      </c>
      <c r="D32" t="s">
        <v>198</v>
      </c>
      <c r="E32" t="b">
        <f t="shared" si="0"/>
        <v>1</v>
      </c>
      <c r="F32" t="s">
        <v>197</v>
      </c>
      <c r="G32" t="b">
        <f t="shared" si="1"/>
        <v>0</v>
      </c>
      <c r="H32" t="str">
        <f t="shared" si="2"/>
        <v>31&amp;cobblestone&amp;asphalt&amp;cobblestone,"\\\hline</v>
      </c>
    </row>
    <row r="33" spans="1:8" x14ac:dyDescent="0.25">
      <c r="A33">
        <v>32</v>
      </c>
      <c r="B33" t="s">
        <v>175</v>
      </c>
      <c r="C33" t="s">
        <v>197</v>
      </c>
      <c r="D33" t="s">
        <v>197</v>
      </c>
      <c r="E33" t="b">
        <f t="shared" si="0"/>
        <v>1</v>
      </c>
      <c r="F33" t="s">
        <v>197</v>
      </c>
      <c r="G33" t="b">
        <f t="shared" si="1"/>
        <v>1</v>
      </c>
      <c r="H33" t="str">
        <f t="shared" si="2"/>
        <v>32&amp;asphalt&amp;asphalt&amp;asphalt,"\\\hline</v>
      </c>
    </row>
    <row r="34" spans="1:8" x14ac:dyDescent="0.25">
      <c r="A34">
        <v>33</v>
      </c>
      <c r="B34" t="s">
        <v>176</v>
      </c>
      <c r="C34" t="s">
        <v>198</v>
      </c>
      <c r="D34" t="s">
        <v>198</v>
      </c>
      <c r="E34" t="b">
        <f t="shared" si="0"/>
        <v>1</v>
      </c>
      <c r="F34" t="s">
        <v>198</v>
      </c>
      <c r="G34" t="b">
        <f t="shared" si="1"/>
        <v>1</v>
      </c>
      <c r="H34" t="str">
        <f t="shared" si="2"/>
        <v>33&amp;cobblestone&amp;cobblestone&amp;cobblestone,"\\\hline</v>
      </c>
    </row>
    <row r="35" spans="1:8" x14ac:dyDescent="0.25">
      <c r="A35">
        <v>34</v>
      </c>
      <c r="B35" t="s">
        <v>177</v>
      </c>
      <c r="C35" t="s">
        <v>197</v>
      </c>
      <c r="D35" t="s">
        <v>197</v>
      </c>
      <c r="E35" t="b">
        <f t="shared" si="0"/>
        <v>1</v>
      </c>
      <c r="F35" t="s">
        <v>197</v>
      </c>
      <c r="G35" t="b">
        <f t="shared" si="1"/>
        <v>1</v>
      </c>
      <c r="H35" t="str">
        <f t="shared" si="2"/>
        <v>34&amp;asphalt&amp;asphalt&amp;asphalt,"\\\hline</v>
      </c>
    </row>
    <row r="36" spans="1:8" x14ac:dyDescent="0.25">
      <c r="A36">
        <v>35</v>
      </c>
      <c r="B36" t="s">
        <v>178</v>
      </c>
      <c r="C36" t="s">
        <v>198</v>
      </c>
      <c r="D36" t="s">
        <v>197</v>
      </c>
      <c r="E36" t="b">
        <f t="shared" si="0"/>
        <v>0</v>
      </c>
      <c r="F36" t="s">
        <v>197</v>
      </c>
      <c r="G36" t="b">
        <f t="shared" si="1"/>
        <v>1</v>
      </c>
      <c r="H36" t="str">
        <f t="shared" si="2"/>
        <v>35&amp;asphalt&amp;asphalt&amp;cobblestone,"\\\hline</v>
      </c>
    </row>
    <row r="37" spans="1:8" x14ac:dyDescent="0.25">
      <c r="A37">
        <v>36</v>
      </c>
      <c r="B37" t="s">
        <v>179</v>
      </c>
      <c r="C37" t="s">
        <v>197</v>
      </c>
      <c r="D37" t="s">
        <v>197</v>
      </c>
      <c r="E37" t="b">
        <f t="shared" si="0"/>
        <v>1</v>
      </c>
      <c r="F37" t="s">
        <v>197</v>
      </c>
      <c r="G37" t="b">
        <f t="shared" si="1"/>
        <v>1</v>
      </c>
      <c r="H37" t="str">
        <f t="shared" si="2"/>
        <v>36&amp;asphalt&amp;asphalt&amp;asphalt,"\\\hline</v>
      </c>
    </row>
    <row r="38" spans="1:8" x14ac:dyDescent="0.25">
      <c r="A38">
        <v>37</v>
      </c>
      <c r="B38" t="s">
        <v>180</v>
      </c>
      <c r="C38" t="s">
        <v>198</v>
      </c>
      <c r="D38" t="s">
        <v>197</v>
      </c>
      <c r="E38" t="b">
        <f t="shared" si="0"/>
        <v>0</v>
      </c>
      <c r="F38" t="s">
        <v>197</v>
      </c>
      <c r="G38" t="b">
        <f t="shared" si="1"/>
        <v>1</v>
      </c>
      <c r="H38" t="str">
        <f t="shared" si="2"/>
        <v>37&amp;asphalt&amp;asphalt&amp;cobblestone,"\\\hline</v>
      </c>
    </row>
    <row r="39" spans="1:8" x14ac:dyDescent="0.25">
      <c r="A39">
        <v>38</v>
      </c>
      <c r="B39" t="s">
        <v>181</v>
      </c>
      <c r="C39" t="s">
        <v>197</v>
      </c>
      <c r="D39" t="s">
        <v>197</v>
      </c>
      <c r="E39" t="b">
        <f t="shared" si="0"/>
        <v>1</v>
      </c>
      <c r="F39" t="s">
        <v>197</v>
      </c>
      <c r="G39" t="b">
        <f t="shared" si="1"/>
        <v>1</v>
      </c>
      <c r="H39" t="str">
        <f t="shared" si="2"/>
        <v>38&amp;asphalt&amp;asphalt&amp;asphalt,"\\\hline</v>
      </c>
    </row>
    <row r="40" spans="1:8" x14ac:dyDescent="0.25">
      <c r="A40">
        <v>39</v>
      </c>
      <c r="B40" t="s">
        <v>182</v>
      </c>
      <c r="C40" t="s">
        <v>198</v>
      </c>
      <c r="D40" t="s">
        <v>197</v>
      </c>
      <c r="E40" t="b">
        <f t="shared" si="0"/>
        <v>0</v>
      </c>
      <c r="F40" t="s">
        <v>197</v>
      </c>
      <c r="G40" t="b">
        <f t="shared" si="1"/>
        <v>1</v>
      </c>
      <c r="H40" t="str">
        <f t="shared" si="2"/>
        <v>39&amp;asphalt&amp;asphalt&amp;cobblestone,"\\\hline</v>
      </c>
    </row>
    <row r="41" spans="1:8" x14ac:dyDescent="0.25">
      <c r="A41">
        <v>40</v>
      </c>
      <c r="B41" t="s">
        <v>183</v>
      </c>
      <c r="C41" t="s">
        <v>197</v>
      </c>
      <c r="D41" t="s">
        <v>197</v>
      </c>
      <c r="E41" t="b">
        <f t="shared" si="0"/>
        <v>1</v>
      </c>
      <c r="F41" t="s">
        <v>197</v>
      </c>
      <c r="G41" t="b">
        <f t="shared" si="1"/>
        <v>1</v>
      </c>
      <c r="H41" t="str">
        <f t="shared" si="2"/>
        <v>40&amp;asphalt&amp;asphalt&amp;asphalt,"\\\hline</v>
      </c>
    </row>
    <row r="42" spans="1:8" x14ac:dyDescent="0.25">
      <c r="A42">
        <v>41</v>
      </c>
      <c r="B42" t="s">
        <v>184</v>
      </c>
      <c r="C42" t="s">
        <v>198</v>
      </c>
      <c r="D42" t="s">
        <v>198</v>
      </c>
      <c r="E42" t="b">
        <f t="shared" si="0"/>
        <v>1</v>
      </c>
      <c r="F42" t="s">
        <v>198</v>
      </c>
      <c r="G42" t="b">
        <f t="shared" si="1"/>
        <v>1</v>
      </c>
      <c r="H42" t="str">
        <f t="shared" si="2"/>
        <v>41&amp;cobblestone&amp;cobblestone&amp;cobblestone,"\\\hline</v>
      </c>
    </row>
    <row r="43" spans="1:8" x14ac:dyDescent="0.25">
      <c r="A43">
        <v>42</v>
      </c>
      <c r="B43" t="s">
        <v>185</v>
      </c>
      <c r="C43" t="s">
        <v>197</v>
      </c>
      <c r="D43" t="s">
        <v>197</v>
      </c>
      <c r="E43" t="b">
        <f t="shared" si="0"/>
        <v>1</v>
      </c>
      <c r="F43" t="s">
        <v>197</v>
      </c>
      <c r="G43" t="b">
        <f t="shared" si="1"/>
        <v>1</v>
      </c>
      <c r="H43" t="str">
        <f t="shared" si="2"/>
        <v>42&amp;asphalt&amp;asphalt&amp;asphalt,"\\\hline</v>
      </c>
    </row>
    <row r="44" spans="1:8" x14ac:dyDescent="0.25">
      <c r="A44">
        <v>43</v>
      </c>
      <c r="B44" t="s">
        <v>186</v>
      </c>
      <c r="C44" t="s">
        <v>198</v>
      </c>
      <c r="D44" t="s">
        <v>198</v>
      </c>
      <c r="E44" t="b">
        <f t="shared" si="0"/>
        <v>1</v>
      </c>
      <c r="F44" t="s">
        <v>198</v>
      </c>
      <c r="G44" t="b">
        <f t="shared" si="1"/>
        <v>1</v>
      </c>
      <c r="H44" t="str">
        <f t="shared" si="2"/>
        <v>43&amp;cobblestone&amp;cobblestone&amp;cobblestone,"\\\hline</v>
      </c>
    </row>
    <row r="45" spans="1:8" x14ac:dyDescent="0.25">
      <c r="A45">
        <v>44</v>
      </c>
      <c r="B45" t="s">
        <v>187</v>
      </c>
      <c r="C45" t="s">
        <v>197</v>
      </c>
      <c r="D45" t="s">
        <v>197</v>
      </c>
      <c r="E45" t="b">
        <f t="shared" si="0"/>
        <v>1</v>
      </c>
      <c r="F45" t="s">
        <v>197</v>
      </c>
      <c r="G45" t="b">
        <f t="shared" si="1"/>
        <v>1</v>
      </c>
      <c r="H45" t="str">
        <f t="shared" si="2"/>
        <v>44&amp;asphalt&amp;asphalt&amp;asphalt,"\\\hline</v>
      </c>
    </row>
    <row r="46" spans="1:8" x14ac:dyDescent="0.25">
      <c r="A46">
        <v>45</v>
      </c>
      <c r="B46" t="s">
        <v>188</v>
      </c>
      <c r="C46" t="s">
        <v>197</v>
      </c>
      <c r="D46" t="s">
        <v>197</v>
      </c>
      <c r="E46" t="b">
        <f t="shared" si="0"/>
        <v>1</v>
      </c>
      <c r="F46" t="s">
        <v>197</v>
      </c>
      <c r="G46" t="b">
        <f t="shared" si="1"/>
        <v>1</v>
      </c>
      <c r="H46" t="str">
        <f t="shared" si="2"/>
        <v>45&amp;asphalt&amp;asphalt&amp;asphalt,"\\\hline</v>
      </c>
    </row>
    <row r="47" spans="1:8" x14ac:dyDescent="0.25">
      <c r="A47">
        <v>46</v>
      </c>
      <c r="B47" t="s">
        <v>189</v>
      </c>
      <c r="C47" t="s">
        <v>125</v>
      </c>
      <c r="D47" t="s">
        <v>125</v>
      </c>
      <c r="E47" t="b">
        <f t="shared" si="0"/>
        <v>1</v>
      </c>
      <c r="F47" t="s">
        <v>125</v>
      </c>
      <c r="G47" t="b">
        <f t="shared" si="1"/>
        <v>1</v>
      </c>
      <c r="H47" t="str">
        <f t="shared" si="2"/>
        <v>46&amp;unpaved&amp;unpaved&amp;unpaved,"\\\hline</v>
      </c>
    </row>
    <row r="48" spans="1:8" x14ac:dyDescent="0.25">
      <c r="A48">
        <v>47</v>
      </c>
      <c r="B48" t="s">
        <v>190</v>
      </c>
      <c r="C48" t="s">
        <v>125</v>
      </c>
      <c r="D48" t="s">
        <v>125</v>
      </c>
      <c r="E48" t="b">
        <f t="shared" si="0"/>
        <v>1</v>
      </c>
      <c r="F48" t="s">
        <v>125</v>
      </c>
      <c r="G48" t="b">
        <f t="shared" si="1"/>
        <v>1</v>
      </c>
      <c r="H48" t="str">
        <f t="shared" si="2"/>
        <v>47&amp;unpaved&amp;unpaved&amp;unpaved,"\\\hline</v>
      </c>
    </row>
    <row r="49" spans="1:20" x14ac:dyDescent="0.25">
      <c r="A49">
        <v>48</v>
      </c>
      <c r="B49" t="s">
        <v>191</v>
      </c>
      <c r="C49" t="s">
        <v>125</v>
      </c>
      <c r="D49" t="s">
        <v>125</v>
      </c>
      <c r="E49" t="b">
        <f t="shared" si="0"/>
        <v>1</v>
      </c>
      <c r="F49" t="s">
        <v>125</v>
      </c>
      <c r="G49" t="b">
        <f t="shared" si="1"/>
        <v>1</v>
      </c>
      <c r="H49" t="str">
        <f t="shared" si="2"/>
        <v>48&amp;unpaved&amp;unpaved&amp;unpaved,"\\\hline</v>
      </c>
    </row>
    <row r="52" spans="1:20" x14ac:dyDescent="0.25">
      <c r="S52" t="s">
        <v>217</v>
      </c>
    </row>
    <row r="53" spans="1:20" x14ac:dyDescent="0.25">
      <c r="R53" t="s">
        <v>7</v>
      </c>
      <c r="S53" t="s">
        <v>23</v>
      </c>
      <c r="T53" t="s">
        <v>13</v>
      </c>
    </row>
    <row r="54" spans="1:20" x14ac:dyDescent="0.25">
      <c r="Q54" t="s">
        <v>7</v>
      </c>
      <c r="R54">
        <f>COUNTIFS(D2:D49,"=asphalt",C2:C49,"=asphalt")</f>
        <v>24</v>
      </c>
      <c r="S54">
        <f>COUNTIFS(D2:D49,"=asphalt",C2:C49,"=cobblestone")</f>
        <v>5</v>
      </c>
      <c r="T54">
        <f>COUNTIFS(D2:D49,"=asphalt",C2:C49,"=unpaved")</f>
        <v>0</v>
      </c>
    </row>
    <row r="55" spans="1:20" x14ac:dyDescent="0.25">
      <c r="P55" t="s">
        <v>201</v>
      </c>
      <c r="Q55" t="s">
        <v>23</v>
      </c>
      <c r="R55">
        <f>COUNTIFS(D2:D49,"=cobblestone",C2:C49,"=asphalt")</f>
        <v>0</v>
      </c>
      <c r="S55">
        <f>COUNTIFS(D2:D49,"=cobblestone",C2:C49,"=cobblestone")</f>
        <v>10</v>
      </c>
      <c r="T55">
        <f>COUNTIFS(D2:D49,"=cobblestone",C2:C49,"=unpaved")</f>
        <v>0</v>
      </c>
    </row>
    <row r="56" spans="1:20" x14ac:dyDescent="0.25">
      <c r="Q56" t="s">
        <v>13</v>
      </c>
      <c r="R56">
        <f>COUNTIFS(D2:D49,"=unpaved",C2:C49,"=asphalt")</f>
        <v>0</v>
      </c>
      <c r="S56">
        <f>COUNTIFS(D2:D49,"=unpaved",C2:C49,"=cobblestone")</f>
        <v>0</v>
      </c>
      <c r="T56">
        <f>COUNTIFS(D2:D49,"=unpaved",C2:C49,"=unpaved")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7344-ABD9-49B9-9123-3FAF7224CCFD}">
  <dimension ref="A1:W25"/>
  <sheetViews>
    <sheetView topLeftCell="C1" workbookViewId="0">
      <selection activeCell="T2" sqref="T2:W5"/>
    </sheetView>
  </sheetViews>
  <sheetFormatPr defaultRowHeight="15" x14ac:dyDescent="0.25"/>
  <cols>
    <col min="2" max="2" width="14.140625" bestFit="1" customWidth="1"/>
    <col min="3" max="3" width="14.5703125" bestFit="1" customWidth="1"/>
    <col min="5" max="5" width="17" bestFit="1" customWidth="1"/>
    <col min="7" max="7" width="50.140625" bestFit="1" customWidth="1"/>
    <col min="15" max="15" width="14.140625" bestFit="1" customWidth="1"/>
    <col min="20" max="20" width="18" bestFit="1" customWidth="1"/>
  </cols>
  <sheetData>
    <row r="1" spans="1:23" x14ac:dyDescent="0.25">
      <c r="A1" t="s">
        <v>142</v>
      </c>
      <c r="C1" t="s">
        <v>205</v>
      </c>
      <c r="D1" t="s">
        <v>200</v>
      </c>
      <c r="E1" t="s">
        <v>203</v>
      </c>
      <c r="G1" t="s">
        <v>204</v>
      </c>
      <c r="O1" t="s">
        <v>144</v>
      </c>
      <c r="P1">
        <v>0</v>
      </c>
      <c r="Q1" t="b">
        <v>1</v>
      </c>
      <c r="R1" t="b">
        <v>0</v>
      </c>
    </row>
    <row r="2" spans="1:23" x14ac:dyDescent="0.25">
      <c r="A2">
        <v>1</v>
      </c>
      <c r="B2" t="s">
        <v>144</v>
      </c>
      <c r="C2">
        <v>0</v>
      </c>
      <c r="D2" t="b">
        <v>1</v>
      </c>
      <c r="E2" t="b">
        <v>0</v>
      </c>
      <c r="F2" t="b">
        <f>D2=E2</f>
        <v>0</v>
      </c>
      <c r="G2" t="str">
        <f>_xlfn.CONCAT(A2,"&amp;",E2,"&amp;",D2,",""\\\hline")</f>
        <v>1&amp;FALSE&amp;TRUE,"\\\hline</v>
      </c>
      <c r="I2">
        <f>COUNTIF(D2:D25,"TRUE")</f>
        <v>12</v>
      </c>
      <c r="J2">
        <f>COUNTIF(F2:F25,"TRUE")</f>
        <v>13</v>
      </c>
      <c r="K2">
        <f>COUNTIF(F2:F25,"TRUE")/24</f>
        <v>0.54166666666666663</v>
      </c>
      <c r="O2" t="s">
        <v>145</v>
      </c>
      <c r="P2">
        <v>0</v>
      </c>
      <c r="Q2" t="b">
        <v>1</v>
      </c>
      <c r="R2" t="b">
        <v>1</v>
      </c>
      <c r="W2" t="s">
        <v>217</v>
      </c>
    </row>
    <row r="3" spans="1:23" x14ac:dyDescent="0.25">
      <c r="A3">
        <v>2</v>
      </c>
      <c r="B3" t="s">
        <v>145</v>
      </c>
      <c r="C3">
        <v>0</v>
      </c>
      <c r="D3" t="b">
        <v>1</v>
      </c>
      <c r="E3" t="b">
        <v>0</v>
      </c>
      <c r="F3" t="b">
        <f t="shared" ref="F3:F25" si="0">D3=E3</f>
        <v>0</v>
      </c>
      <c r="G3" t="str">
        <f t="shared" ref="G3:G25" si="1">_xlfn.CONCAT(A3,"&amp;",E3,"&amp;",D3,",""\\\hline")</f>
        <v>2&amp;FALSE&amp;TRUE,"\\\hline</v>
      </c>
      <c r="O3" t="s">
        <v>146</v>
      </c>
      <c r="P3">
        <v>2</v>
      </c>
      <c r="Q3" t="b">
        <v>0</v>
      </c>
      <c r="R3" t="b">
        <v>1</v>
      </c>
      <c r="V3" t="b">
        <v>1</v>
      </c>
      <c r="W3" t="b">
        <v>0</v>
      </c>
    </row>
    <row r="4" spans="1:23" x14ac:dyDescent="0.25">
      <c r="A4">
        <v>4</v>
      </c>
      <c r="B4" t="s">
        <v>147</v>
      </c>
      <c r="C4">
        <v>0</v>
      </c>
      <c r="D4" t="b">
        <v>0</v>
      </c>
      <c r="E4" t="b">
        <v>0</v>
      </c>
      <c r="F4" t="b">
        <f t="shared" si="0"/>
        <v>1</v>
      </c>
      <c r="G4" t="str">
        <f t="shared" si="1"/>
        <v>4&amp;FALSE&amp;FALSE,"\\\hline</v>
      </c>
      <c r="O4" t="s">
        <v>148</v>
      </c>
      <c r="P4">
        <v>0</v>
      </c>
      <c r="Q4" t="b">
        <v>0</v>
      </c>
      <c r="R4" t="b">
        <v>0</v>
      </c>
      <c r="U4" t="b">
        <v>1</v>
      </c>
      <c r="V4">
        <f>COUNTIFS(D2:D25,"=TRUE",E2:E25,"=TRUE")</f>
        <v>2</v>
      </c>
      <c r="W4">
        <f>COUNTIFS(D2:D25,"=FALSE",E2:E25,"=TRUE")</f>
        <v>1</v>
      </c>
    </row>
    <row r="5" spans="1:23" x14ac:dyDescent="0.25">
      <c r="A5">
        <v>5</v>
      </c>
      <c r="B5" t="s">
        <v>148</v>
      </c>
      <c r="C5">
        <v>0</v>
      </c>
      <c r="D5" t="b">
        <v>0</v>
      </c>
      <c r="E5" t="b">
        <v>0</v>
      </c>
      <c r="F5" t="b">
        <f t="shared" si="0"/>
        <v>1</v>
      </c>
      <c r="G5" t="str">
        <f t="shared" si="1"/>
        <v>5&amp;FALSE&amp;FALSE,"\\\hline</v>
      </c>
      <c r="O5" t="s">
        <v>149</v>
      </c>
      <c r="P5">
        <v>0</v>
      </c>
      <c r="Q5" t="b">
        <v>0</v>
      </c>
      <c r="R5" t="b">
        <v>1</v>
      </c>
      <c r="T5" t="s">
        <v>219</v>
      </c>
      <c r="U5" t="b">
        <v>0</v>
      </c>
      <c r="V5">
        <f>COUNTIFS(D2:D25,"=TRUE",E2:E25,"=FALSE")</f>
        <v>10</v>
      </c>
      <c r="W5">
        <f>COUNTIFS(D2:D25,"=FALSE",E2:E25,"=FALSE")</f>
        <v>11</v>
      </c>
    </row>
    <row r="6" spans="1:23" x14ac:dyDescent="0.25">
      <c r="A6">
        <v>6</v>
      </c>
      <c r="B6" t="s">
        <v>149</v>
      </c>
      <c r="C6">
        <v>0</v>
      </c>
      <c r="D6" t="b">
        <v>0</v>
      </c>
      <c r="E6" t="b">
        <v>0</v>
      </c>
      <c r="F6" t="b">
        <f t="shared" si="0"/>
        <v>1</v>
      </c>
      <c r="G6" t="str">
        <f t="shared" si="1"/>
        <v>6&amp;FALSE&amp;FALSE,"\\\hline</v>
      </c>
      <c r="O6" t="s">
        <v>150</v>
      </c>
      <c r="P6">
        <v>1</v>
      </c>
      <c r="Q6" t="b">
        <v>0</v>
      </c>
      <c r="R6" t="b">
        <v>0</v>
      </c>
    </row>
    <row r="7" spans="1:23" x14ac:dyDescent="0.25">
      <c r="A7">
        <v>8</v>
      </c>
      <c r="B7" t="s">
        <v>151</v>
      </c>
      <c r="C7">
        <v>0</v>
      </c>
      <c r="D7" t="b">
        <v>0</v>
      </c>
      <c r="E7" t="b">
        <v>0</v>
      </c>
      <c r="F7" t="b">
        <f t="shared" si="0"/>
        <v>1</v>
      </c>
      <c r="G7" t="str">
        <f t="shared" si="1"/>
        <v>8&amp;FALSE&amp;FALSE,"\\\hline</v>
      </c>
      <c r="O7" t="s">
        <v>152</v>
      </c>
      <c r="P7">
        <v>1</v>
      </c>
      <c r="Q7" t="b">
        <v>0</v>
      </c>
      <c r="R7" t="b">
        <v>1</v>
      </c>
    </row>
    <row r="8" spans="1:23" x14ac:dyDescent="0.25">
      <c r="A8">
        <v>12</v>
      </c>
      <c r="B8" t="s">
        <v>155</v>
      </c>
      <c r="C8">
        <v>0</v>
      </c>
      <c r="D8" t="b">
        <v>1</v>
      </c>
      <c r="E8" t="b">
        <v>0</v>
      </c>
      <c r="F8" t="b">
        <f t="shared" si="0"/>
        <v>0</v>
      </c>
      <c r="G8" t="str">
        <f t="shared" si="1"/>
        <v>12&amp;FALSE&amp;TRUE,"\\\hline</v>
      </c>
      <c r="O8" t="s">
        <v>156</v>
      </c>
      <c r="P8">
        <v>2</v>
      </c>
      <c r="Q8" t="b">
        <v>0</v>
      </c>
      <c r="R8" t="b">
        <v>1</v>
      </c>
    </row>
    <row r="9" spans="1:23" x14ac:dyDescent="0.25">
      <c r="A9">
        <v>14</v>
      </c>
      <c r="B9" t="s">
        <v>157</v>
      </c>
      <c r="C9">
        <v>0</v>
      </c>
      <c r="D9" t="b">
        <v>0</v>
      </c>
      <c r="E9" t="b">
        <v>0</v>
      </c>
      <c r="F9" t="b">
        <f t="shared" si="0"/>
        <v>1</v>
      </c>
      <c r="G9" t="str">
        <f t="shared" si="1"/>
        <v>14&amp;FALSE&amp;FALSE,"\\\hline</v>
      </c>
      <c r="O9" t="s">
        <v>158</v>
      </c>
      <c r="P9">
        <v>2</v>
      </c>
      <c r="Q9" t="b">
        <v>0</v>
      </c>
      <c r="R9" t="b">
        <v>1</v>
      </c>
    </row>
    <row r="10" spans="1:23" x14ac:dyDescent="0.25">
      <c r="A10">
        <v>16</v>
      </c>
      <c r="B10" t="s">
        <v>159</v>
      </c>
      <c r="C10">
        <v>0</v>
      </c>
      <c r="D10" t="b">
        <v>0</v>
      </c>
      <c r="E10" t="b">
        <v>0</v>
      </c>
      <c r="F10" t="b">
        <f t="shared" si="0"/>
        <v>1</v>
      </c>
      <c r="G10" t="str">
        <f t="shared" si="1"/>
        <v>16&amp;FALSE&amp;FALSE,"\\\hline</v>
      </c>
      <c r="O10" t="s">
        <v>160</v>
      </c>
      <c r="P10">
        <v>0</v>
      </c>
      <c r="Q10" t="b">
        <v>1</v>
      </c>
      <c r="R10" t="b">
        <v>1</v>
      </c>
    </row>
    <row r="11" spans="1:23" x14ac:dyDescent="0.25">
      <c r="A11">
        <v>17</v>
      </c>
      <c r="B11" t="s">
        <v>160</v>
      </c>
      <c r="C11">
        <v>0</v>
      </c>
      <c r="D11" t="b">
        <v>1</v>
      </c>
      <c r="E11" t="b">
        <v>0</v>
      </c>
      <c r="F11" t="b">
        <f t="shared" si="0"/>
        <v>0</v>
      </c>
      <c r="G11" t="str">
        <f t="shared" si="1"/>
        <v>17&amp;FALSE&amp;TRUE,"\\\hline</v>
      </c>
      <c r="O11" t="s">
        <v>161</v>
      </c>
      <c r="P11">
        <v>0</v>
      </c>
      <c r="Q11" t="b">
        <v>1</v>
      </c>
      <c r="R11" t="b">
        <v>0</v>
      </c>
    </row>
    <row r="12" spans="1:23" x14ac:dyDescent="0.25">
      <c r="A12">
        <v>18</v>
      </c>
      <c r="B12" t="s">
        <v>161</v>
      </c>
      <c r="C12">
        <v>0</v>
      </c>
      <c r="D12" t="b">
        <v>0</v>
      </c>
      <c r="E12" t="b">
        <v>0</v>
      </c>
      <c r="F12" t="b">
        <f t="shared" si="0"/>
        <v>1</v>
      </c>
      <c r="G12" t="str">
        <f t="shared" si="1"/>
        <v>18&amp;FALSE&amp;FALSE,"\\\hline</v>
      </c>
      <c r="O12" t="s">
        <v>162</v>
      </c>
      <c r="P12">
        <v>1</v>
      </c>
      <c r="Q12" t="b">
        <v>0</v>
      </c>
      <c r="R12" t="b">
        <v>1</v>
      </c>
    </row>
    <row r="13" spans="1:23" x14ac:dyDescent="0.25">
      <c r="A13">
        <v>20</v>
      </c>
      <c r="B13" t="s">
        <v>163</v>
      </c>
      <c r="C13">
        <v>0</v>
      </c>
      <c r="D13" t="b">
        <v>0</v>
      </c>
      <c r="E13" t="b">
        <v>0</v>
      </c>
      <c r="F13" t="b">
        <f t="shared" si="0"/>
        <v>1</v>
      </c>
      <c r="G13" t="str">
        <f t="shared" si="1"/>
        <v>20&amp;FALSE&amp;FALSE,"\\\hline</v>
      </c>
      <c r="O13" t="s">
        <v>164</v>
      </c>
      <c r="P13">
        <v>0</v>
      </c>
      <c r="Q13" t="b">
        <v>0</v>
      </c>
      <c r="R13" t="b">
        <v>0</v>
      </c>
    </row>
    <row r="14" spans="1:23" x14ac:dyDescent="0.25">
      <c r="A14">
        <v>21</v>
      </c>
      <c r="B14" t="s">
        <v>164</v>
      </c>
      <c r="C14">
        <v>0</v>
      </c>
      <c r="D14" t="b">
        <v>0</v>
      </c>
      <c r="E14" t="b">
        <v>0</v>
      </c>
      <c r="F14" t="b">
        <f t="shared" si="0"/>
        <v>1</v>
      </c>
      <c r="G14" t="str">
        <f t="shared" si="1"/>
        <v>21&amp;FALSE&amp;FALSE,"\\\hline</v>
      </c>
      <c r="O14" t="s">
        <v>165</v>
      </c>
      <c r="P14">
        <v>0</v>
      </c>
      <c r="Q14" t="b">
        <v>0</v>
      </c>
      <c r="R14" t="b">
        <v>1</v>
      </c>
    </row>
    <row r="15" spans="1:23" x14ac:dyDescent="0.25">
      <c r="A15">
        <v>22</v>
      </c>
      <c r="B15" t="s">
        <v>165</v>
      </c>
      <c r="C15">
        <v>0</v>
      </c>
      <c r="D15" t="b">
        <v>0</v>
      </c>
      <c r="E15" t="b">
        <v>0</v>
      </c>
      <c r="F15" t="b">
        <f t="shared" si="0"/>
        <v>1</v>
      </c>
      <c r="G15" t="str">
        <f t="shared" si="1"/>
        <v>22&amp;FALSE&amp;FALSE,"\\\hline</v>
      </c>
      <c r="O15" t="s">
        <v>166</v>
      </c>
      <c r="P15">
        <v>1</v>
      </c>
      <c r="Q15" t="b">
        <v>0</v>
      </c>
      <c r="R15" t="b">
        <v>1</v>
      </c>
    </row>
    <row r="16" spans="1:23" x14ac:dyDescent="0.25">
      <c r="A16">
        <v>25</v>
      </c>
      <c r="B16" t="s">
        <v>168</v>
      </c>
      <c r="C16">
        <v>0</v>
      </c>
      <c r="D16" t="b">
        <v>1</v>
      </c>
      <c r="E16" t="b">
        <v>0</v>
      </c>
      <c r="F16" t="b">
        <f t="shared" si="0"/>
        <v>0</v>
      </c>
      <c r="G16" t="str">
        <f t="shared" si="1"/>
        <v>25&amp;FALSE&amp;TRUE,"\\\hline</v>
      </c>
      <c r="O16" t="s">
        <v>169</v>
      </c>
      <c r="P16">
        <v>0</v>
      </c>
      <c r="Q16" t="b">
        <v>1</v>
      </c>
      <c r="R16" t="b">
        <v>0</v>
      </c>
    </row>
    <row r="17" spans="1:18" x14ac:dyDescent="0.25">
      <c r="A17">
        <v>26</v>
      </c>
      <c r="B17" t="s">
        <v>169</v>
      </c>
      <c r="C17">
        <v>0</v>
      </c>
      <c r="D17" t="b">
        <v>1</v>
      </c>
      <c r="E17" t="b">
        <v>0</v>
      </c>
      <c r="F17" t="b">
        <f t="shared" si="0"/>
        <v>0</v>
      </c>
      <c r="G17" t="str">
        <f t="shared" si="1"/>
        <v>26&amp;FALSE&amp;TRUE,"\\\hline</v>
      </c>
      <c r="O17" t="s">
        <v>170</v>
      </c>
      <c r="P17">
        <v>1</v>
      </c>
      <c r="Q17" t="b">
        <v>0</v>
      </c>
      <c r="R17" t="b">
        <v>0</v>
      </c>
    </row>
    <row r="18" spans="1:18" x14ac:dyDescent="0.25">
      <c r="A18">
        <v>32</v>
      </c>
      <c r="B18" t="s">
        <v>175</v>
      </c>
      <c r="C18">
        <v>0</v>
      </c>
      <c r="D18" t="b">
        <v>0</v>
      </c>
      <c r="E18" t="b">
        <v>0</v>
      </c>
      <c r="F18" t="b">
        <f t="shared" si="0"/>
        <v>1</v>
      </c>
      <c r="G18" t="str">
        <f t="shared" si="1"/>
        <v>32&amp;FALSE&amp;FALSE,"\\\hline</v>
      </c>
      <c r="O18" t="s">
        <v>176</v>
      </c>
      <c r="P18">
        <v>1</v>
      </c>
      <c r="Q18" t="b">
        <v>0</v>
      </c>
      <c r="R18" t="b">
        <v>1</v>
      </c>
    </row>
    <row r="19" spans="1:18" x14ac:dyDescent="0.25">
      <c r="A19">
        <v>34</v>
      </c>
      <c r="B19" t="s">
        <v>177</v>
      </c>
      <c r="C19">
        <v>0</v>
      </c>
      <c r="D19" t="b">
        <v>1</v>
      </c>
      <c r="E19" t="b">
        <v>1</v>
      </c>
      <c r="F19" t="b">
        <f t="shared" si="0"/>
        <v>1</v>
      </c>
      <c r="G19" t="str">
        <f t="shared" si="1"/>
        <v>34&amp;TRUE&amp;TRUE,"\\\hline</v>
      </c>
      <c r="O19" t="s">
        <v>178</v>
      </c>
      <c r="P19">
        <v>1</v>
      </c>
      <c r="Q19" t="b">
        <v>0</v>
      </c>
      <c r="R19" t="b">
        <v>1</v>
      </c>
    </row>
    <row r="20" spans="1:18" x14ac:dyDescent="0.25">
      <c r="A20">
        <v>36</v>
      </c>
      <c r="B20" t="s">
        <v>179</v>
      </c>
      <c r="C20">
        <v>0</v>
      </c>
      <c r="D20" t="b">
        <v>1</v>
      </c>
      <c r="E20" t="b">
        <v>1</v>
      </c>
      <c r="F20" t="b">
        <f t="shared" si="0"/>
        <v>1</v>
      </c>
      <c r="G20" t="str">
        <f t="shared" si="1"/>
        <v>36&amp;TRUE&amp;TRUE,"\\\hline</v>
      </c>
      <c r="O20" t="s">
        <v>180</v>
      </c>
      <c r="P20">
        <v>1</v>
      </c>
      <c r="Q20" t="b">
        <v>0</v>
      </c>
      <c r="R20" t="b">
        <v>0</v>
      </c>
    </row>
    <row r="21" spans="1:18" x14ac:dyDescent="0.25">
      <c r="A21">
        <v>38</v>
      </c>
      <c r="B21" t="s">
        <v>181</v>
      </c>
      <c r="C21">
        <v>0</v>
      </c>
      <c r="D21" t="b">
        <v>0</v>
      </c>
      <c r="E21" t="b">
        <v>1</v>
      </c>
      <c r="F21" t="b">
        <f t="shared" si="0"/>
        <v>0</v>
      </c>
      <c r="G21" t="str">
        <f t="shared" si="1"/>
        <v>38&amp;TRUE&amp;FALSE,"\\\hline</v>
      </c>
      <c r="O21" t="s">
        <v>182</v>
      </c>
      <c r="P21">
        <v>1</v>
      </c>
      <c r="Q21" t="b">
        <v>0</v>
      </c>
      <c r="R21" t="b">
        <v>0</v>
      </c>
    </row>
    <row r="22" spans="1:18" x14ac:dyDescent="0.25">
      <c r="A22">
        <v>40</v>
      </c>
      <c r="B22" t="s">
        <v>183</v>
      </c>
      <c r="C22">
        <v>0</v>
      </c>
      <c r="D22" t="b">
        <v>1</v>
      </c>
      <c r="E22" t="b">
        <v>0</v>
      </c>
      <c r="F22" t="b">
        <f t="shared" si="0"/>
        <v>0</v>
      </c>
      <c r="G22" t="str">
        <f t="shared" si="1"/>
        <v>40&amp;FALSE&amp;TRUE,"\\\hline</v>
      </c>
      <c r="O22" t="s">
        <v>184</v>
      </c>
      <c r="P22">
        <v>1</v>
      </c>
      <c r="Q22" t="b">
        <v>0</v>
      </c>
      <c r="R22" t="b">
        <v>0</v>
      </c>
    </row>
    <row r="23" spans="1:18" x14ac:dyDescent="0.25">
      <c r="A23">
        <v>42</v>
      </c>
      <c r="B23" t="s">
        <v>185</v>
      </c>
      <c r="C23">
        <v>0</v>
      </c>
      <c r="D23" t="b">
        <v>1</v>
      </c>
      <c r="E23" t="b">
        <v>0</v>
      </c>
      <c r="F23" t="b">
        <f t="shared" si="0"/>
        <v>0</v>
      </c>
      <c r="G23" t="str">
        <f t="shared" si="1"/>
        <v>42&amp;FALSE&amp;TRUE,"\\\hline</v>
      </c>
      <c r="O23" t="s">
        <v>186</v>
      </c>
      <c r="P23">
        <v>1</v>
      </c>
      <c r="Q23" t="b">
        <v>0</v>
      </c>
      <c r="R23" t="b">
        <v>1</v>
      </c>
    </row>
    <row r="24" spans="1:18" x14ac:dyDescent="0.25">
      <c r="A24">
        <v>44</v>
      </c>
      <c r="B24" t="s">
        <v>187</v>
      </c>
      <c r="C24">
        <v>0</v>
      </c>
      <c r="D24" t="b">
        <v>1</v>
      </c>
      <c r="E24" t="b">
        <v>0</v>
      </c>
      <c r="F24" t="b">
        <f t="shared" si="0"/>
        <v>0</v>
      </c>
      <c r="G24" t="str">
        <f t="shared" si="1"/>
        <v>44&amp;FALSE&amp;TRUE,"\\\hline</v>
      </c>
      <c r="O24" t="s">
        <v>188</v>
      </c>
      <c r="P24">
        <v>0</v>
      </c>
      <c r="Q24" t="b">
        <v>1</v>
      </c>
      <c r="R24" t="b">
        <v>0</v>
      </c>
    </row>
    <row r="25" spans="1:18" x14ac:dyDescent="0.25">
      <c r="A25">
        <v>45</v>
      </c>
      <c r="B25" t="s">
        <v>188</v>
      </c>
      <c r="C25">
        <v>0</v>
      </c>
      <c r="D25" t="b">
        <v>1</v>
      </c>
      <c r="E25" t="b">
        <v>0</v>
      </c>
      <c r="F25" t="b">
        <f t="shared" si="0"/>
        <v>0</v>
      </c>
      <c r="G25" t="str">
        <f t="shared" si="1"/>
        <v>45&amp;FALSE&amp;TRUE,"\\\hline</v>
      </c>
      <c r="O25" t="s">
        <v>189</v>
      </c>
      <c r="P25">
        <v>2</v>
      </c>
      <c r="Q25" t="b">
        <v>0</v>
      </c>
      <c r="R25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7325-4018-48A2-8725-AA3E3C48B0D9}">
  <dimension ref="A1:W49"/>
  <sheetViews>
    <sheetView topLeftCell="B1" workbookViewId="0">
      <selection activeCell="T2" sqref="T2:W5"/>
    </sheetView>
  </sheetViews>
  <sheetFormatPr defaultRowHeight="15" x14ac:dyDescent="0.25"/>
  <cols>
    <col min="2" max="2" width="14.140625" bestFit="1" customWidth="1"/>
    <col min="6" max="6" width="17" bestFit="1" customWidth="1"/>
    <col min="7" max="7" width="50" bestFit="1" customWidth="1"/>
    <col min="13" max="13" width="14.140625" bestFit="1" customWidth="1"/>
  </cols>
  <sheetData>
    <row r="1" spans="1:23" x14ac:dyDescent="0.25">
      <c r="A1" t="s">
        <v>142</v>
      </c>
      <c r="C1" t="s">
        <v>200</v>
      </c>
      <c r="D1" t="s">
        <v>201</v>
      </c>
      <c r="E1">
        <f>COUNTIF(E2:E49, TRUE)</f>
        <v>42</v>
      </c>
      <c r="F1" t="s">
        <v>203</v>
      </c>
      <c r="G1" t="s">
        <v>204</v>
      </c>
      <c r="H1">
        <f>COUNTIF(H2:H49, "TRUE")</f>
        <v>42</v>
      </c>
      <c r="I1">
        <f>H1/48</f>
        <v>0.875</v>
      </c>
    </row>
    <row r="2" spans="1:23" x14ac:dyDescent="0.25">
      <c r="A2">
        <v>1</v>
      </c>
      <c r="B2" t="s">
        <v>144</v>
      </c>
      <c r="C2" t="b">
        <v>1</v>
      </c>
      <c r="D2" t="b">
        <v>1</v>
      </c>
      <c r="E2" t="b">
        <f>C2=D2</f>
        <v>1</v>
      </c>
      <c r="F2" t="b">
        <v>1</v>
      </c>
      <c r="G2" t="str">
        <f>_xlfn.CONCAT(A2,"&amp;",D2,"&amp;",F2,"&amp;",C2,"\\\hline")</f>
        <v>1&amp;TRUE&amp;TRUE&amp;TRUE\\\hline</v>
      </c>
      <c r="H2" t="b">
        <f>C2=D2</f>
        <v>1</v>
      </c>
      <c r="J2" t="e">
        <f>COUNTIF(#REF!,"TRUE")</f>
        <v>#REF!</v>
      </c>
      <c r="K2" t="e">
        <f>COUNTIF(#REF!,"TRUE")/48</f>
        <v>#REF!</v>
      </c>
      <c r="M2" t="s">
        <v>144</v>
      </c>
      <c r="N2" t="b">
        <v>1</v>
      </c>
      <c r="O2">
        <v>0</v>
      </c>
      <c r="P2" t="b">
        <v>1</v>
      </c>
      <c r="Q2" t="b">
        <v>0</v>
      </c>
      <c r="R2">
        <v>6.35</v>
      </c>
      <c r="W2" t="s">
        <v>217</v>
      </c>
    </row>
    <row r="3" spans="1:23" x14ac:dyDescent="0.25">
      <c r="A3">
        <v>2</v>
      </c>
      <c r="B3" t="s">
        <v>145</v>
      </c>
      <c r="C3" t="b">
        <v>0</v>
      </c>
      <c r="D3" t="b">
        <v>0</v>
      </c>
      <c r="E3" t="b">
        <f t="shared" ref="E3:E49" si="0">C3=D3</f>
        <v>1</v>
      </c>
      <c r="F3" t="b">
        <v>0</v>
      </c>
      <c r="G3" t="str">
        <f t="shared" ref="G3:G49" si="1">_xlfn.CONCAT(A3,"&amp;",D3,"&amp;",F3,"&amp;",C3,"\\\hline")</f>
        <v>2&amp;FALSE&amp;FALSE&amp;FALSE\\\hline</v>
      </c>
      <c r="H3" t="b">
        <f t="shared" ref="H3:H49" si="2">C3=D3</f>
        <v>1</v>
      </c>
      <c r="M3" t="s">
        <v>145</v>
      </c>
      <c r="N3" t="b">
        <v>0</v>
      </c>
      <c r="O3">
        <v>0</v>
      </c>
      <c r="P3" t="b">
        <v>1</v>
      </c>
      <c r="Q3" t="b">
        <v>1</v>
      </c>
      <c r="R3">
        <v>5.16</v>
      </c>
      <c r="V3" t="b">
        <v>1</v>
      </c>
      <c r="W3" t="b">
        <v>0</v>
      </c>
    </row>
    <row r="4" spans="1:23" x14ac:dyDescent="0.25">
      <c r="A4">
        <v>3</v>
      </c>
      <c r="B4" t="s">
        <v>146</v>
      </c>
      <c r="C4" t="b">
        <v>0</v>
      </c>
      <c r="D4" t="b">
        <v>0</v>
      </c>
      <c r="E4" t="b">
        <f t="shared" si="0"/>
        <v>1</v>
      </c>
      <c r="F4" t="b">
        <v>1</v>
      </c>
      <c r="G4" t="str">
        <f t="shared" si="1"/>
        <v>3&amp;FALSE&amp;TRUE&amp;FALSE\\\hline</v>
      </c>
      <c r="H4" t="b">
        <f t="shared" si="2"/>
        <v>1</v>
      </c>
      <c r="M4" t="s">
        <v>146</v>
      </c>
      <c r="N4" t="b">
        <v>0</v>
      </c>
      <c r="O4">
        <v>2</v>
      </c>
      <c r="P4" t="b">
        <v>0</v>
      </c>
      <c r="Q4" t="b">
        <v>1</v>
      </c>
      <c r="R4">
        <v>2.9</v>
      </c>
      <c r="U4" t="b">
        <v>1</v>
      </c>
      <c r="V4">
        <f>COUNTIFS(C2:C49,"=TRUE",D2:D49,"=TRUE")</f>
        <v>12</v>
      </c>
      <c r="W4">
        <f>COUNTIFS(C2:C49,"=FALSE",D2:D49,"=TRUE")</f>
        <v>2</v>
      </c>
    </row>
    <row r="5" spans="1:23" x14ac:dyDescent="0.25">
      <c r="A5">
        <v>4</v>
      </c>
      <c r="B5" t="s">
        <v>147</v>
      </c>
      <c r="C5" t="b">
        <v>0</v>
      </c>
      <c r="D5" t="b">
        <v>0</v>
      </c>
      <c r="E5" t="b">
        <f t="shared" si="0"/>
        <v>1</v>
      </c>
      <c r="F5" t="b">
        <v>0</v>
      </c>
      <c r="G5" t="str">
        <f t="shared" si="1"/>
        <v>4&amp;FALSE&amp;FALSE&amp;FALSE\\\hline</v>
      </c>
      <c r="H5" t="b">
        <f t="shared" si="2"/>
        <v>1</v>
      </c>
      <c r="M5" t="s">
        <v>147</v>
      </c>
      <c r="N5" t="b">
        <v>0</v>
      </c>
      <c r="O5">
        <v>0</v>
      </c>
      <c r="P5" t="b">
        <v>0</v>
      </c>
      <c r="Q5" t="b">
        <v>1</v>
      </c>
      <c r="R5">
        <v>5.91</v>
      </c>
      <c r="T5" t="s">
        <v>201</v>
      </c>
      <c r="U5" t="b">
        <v>0</v>
      </c>
      <c r="V5">
        <f>COUNTIFS(C2:C49,"=TRUE",D2:D49,"=FALSE")</f>
        <v>4</v>
      </c>
      <c r="W5">
        <f>COUNTIFS(C2:C49,"=FALSE",D2:D49,"=FALSE")</f>
        <v>30</v>
      </c>
    </row>
    <row r="6" spans="1:23" x14ac:dyDescent="0.25">
      <c r="A6">
        <v>5</v>
      </c>
      <c r="B6" t="s">
        <v>148</v>
      </c>
      <c r="C6" t="b">
        <v>0</v>
      </c>
      <c r="D6" t="b">
        <v>0</v>
      </c>
      <c r="E6" t="b">
        <f t="shared" si="0"/>
        <v>1</v>
      </c>
      <c r="F6" t="b">
        <v>0</v>
      </c>
      <c r="G6" t="str">
        <f t="shared" si="1"/>
        <v>5&amp;FALSE&amp;FALSE&amp;FALSE\\\hline</v>
      </c>
      <c r="H6" t="b">
        <f t="shared" si="2"/>
        <v>1</v>
      </c>
      <c r="M6" t="s">
        <v>148</v>
      </c>
      <c r="N6" t="b">
        <v>0</v>
      </c>
      <c r="O6">
        <v>0</v>
      </c>
      <c r="P6" t="b">
        <v>0</v>
      </c>
      <c r="Q6" t="b">
        <v>0</v>
      </c>
      <c r="R6">
        <v>3.01</v>
      </c>
    </row>
    <row r="7" spans="1:23" x14ac:dyDescent="0.25">
      <c r="A7">
        <v>6</v>
      </c>
      <c r="B7" t="s">
        <v>149</v>
      </c>
      <c r="C7" t="b">
        <v>0</v>
      </c>
      <c r="D7" t="b">
        <v>0</v>
      </c>
      <c r="E7" t="b">
        <f t="shared" si="0"/>
        <v>1</v>
      </c>
      <c r="F7" t="b">
        <v>0</v>
      </c>
      <c r="G7" t="str">
        <f t="shared" si="1"/>
        <v>6&amp;FALSE&amp;FALSE&amp;FALSE\\\hline</v>
      </c>
      <c r="H7" t="b">
        <f t="shared" si="2"/>
        <v>1</v>
      </c>
      <c r="M7" t="s">
        <v>149</v>
      </c>
      <c r="N7" t="b">
        <v>0</v>
      </c>
      <c r="O7">
        <v>0</v>
      </c>
      <c r="P7" t="b">
        <v>0</v>
      </c>
      <c r="Q7" t="b">
        <v>1</v>
      </c>
      <c r="R7">
        <v>5.91</v>
      </c>
    </row>
    <row r="8" spans="1:23" x14ac:dyDescent="0.25">
      <c r="A8">
        <v>7</v>
      </c>
      <c r="B8" t="s">
        <v>150</v>
      </c>
      <c r="C8" t="b">
        <v>0</v>
      </c>
      <c r="D8" t="b">
        <v>0</v>
      </c>
      <c r="E8" t="b">
        <f t="shared" si="0"/>
        <v>1</v>
      </c>
      <c r="F8" t="b">
        <v>0</v>
      </c>
      <c r="G8" t="str">
        <f t="shared" si="1"/>
        <v>7&amp;FALSE&amp;FALSE&amp;FALSE\\\hline</v>
      </c>
      <c r="H8" t="b">
        <f t="shared" si="2"/>
        <v>1</v>
      </c>
      <c r="M8" t="s">
        <v>150</v>
      </c>
      <c r="N8" t="b">
        <v>0</v>
      </c>
      <c r="O8">
        <v>1</v>
      </c>
      <c r="P8" t="b">
        <v>0</v>
      </c>
      <c r="Q8" t="b">
        <v>0</v>
      </c>
      <c r="R8">
        <v>2.2599999999999998</v>
      </c>
    </row>
    <row r="9" spans="1:23" x14ac:dyDescent="0.25">
      <c r="A9">
        <v>8</v>
      </c>
      <c r="B9" t="s">
        <v>151</v>
      </c>
      <c r="C9" t="b">
        <v>1</v>
      </c>
      <c r="D9" t="b">
        <v>0</v>
      </c>
      <c r="E9" t="b">
        <f t="shared" si="0"/>
        <v>0</v>
      </c>
      <c r="F9" t="s">
        <v>206</v>
      </c>
      <c r="G9" t="str">
        <f t="shared" si="1"/>
        <v>8&amp;FALSE&amp;DRAW&amp;TRUE\\\hline</v>
      </c>
      <c r="H9" t="b">
        <f t="shared" si="2"/>
        <v>0</v>
      </c>
      <c r="M9" t="s">
        <v>151</v>
      </c>
      <c r="N9" t="b">
        <v>1</v>
      </c>
      <c r="O9">
        <v>0</v>
      </c>
      <c r="P9" t="b">
        <v>0</v>
      </c>
      <c r="Q9" t="b">
        <v>0</v>
      </c>
      <c r="R9">
        <v>7.1</v>
      </c>
    </row>
    <row r="10" spans="1:23" x14ac:dyDescent="0.25">
      <c r="A10">
        <v>9</v>
      </c>
      <c r="B10" t="s">
        <v>152</v>
      </c>
      <c r="C10" t="b">
        <v>1</v>
      </c>
      <c r="D10" t="b">
        <v>0</v>
      </c>
      <c r="E10" t="b">
        <f t="shared" si="0"/>
        <v>0</v>
      </c>
      <c r="F10" t="b">
        <v>0</v>
      </c>
      <c r="G10" t="str">
        <f t="shared" si="1"/>
        <v>9&amp;FALSE&amp;FALSE&amp;TRUE\\\hline</v>
      </c>
      <c r="H10" t="b">
        <f t="shared" si="2"/>
        <v>0</v>
      </c>
      <c r="M10" t="s">
        <v>152</v>
      </c>
      <c r="N10" t="b">
        <v>1</v>
      </c>
      <c r="O10">
        <v>1</v>
      </c>
      <c r="P10" t="b">
        <v>0</v>
      </c>
      <c r="Q10" t="b">
        <v>1</v>
      </c>
      <c r="R10">
        <v>9.25</v>
      </c>
    </row>
    <row r="11" spans="1:23" x14ac:dyDescent="0.25">
      <c r="A11">
        <v>10</v>
      </c>
      <c r="B11" t="s">
        <v>153</v>
      </c>
      <c r="C11" t="b">
        <v>0</v>
      </c>
      <c r="D11" t="b">
        <v>0</v>
      </c>
      <c r="E11" t="b">
        <f t="shared" si="0"/>
        <v>1</v>
      </c>
      <c r="F11" t="b">
        <v>0</v>
      </c>
      <c r="G11" t="str">
        <f t="shared" si="1"/>
        <v>10&amp;FALSE&amp;FALSE&amp;FALSE\\\hline</v>
      </c>
      <c r="H11" t="b">
        <f t="shared" si="2"/>
        <v>1</v>
      </c>
      <c r="M11" t="s">
        <v>153</v>
      </c>
      <c r="N11" t="b">
        <v>0</v>
      </c>
      <c r="O11">
        <v>1</v>
      </c>
      <c r="P11" t="b">
        <v>0</v>
      </c>
      <c r="Q11" t="b">
        <v>1</v>
      </c>
      <c r="R11">
        <v>5.16</v>
      </c>
    </row>
    <row r="12" spans="1:23" x14ac:dyDescent="0.25">
      <c r="A12">
        <v>11</v>
      </c>
      <c r="B12" t="s">
        <v>154</v>
      </c>
      <c r="C12" t="b">
        <v>0</v>
      </c>
      <c r="D12" t="b">
        <v>0</v>
      </c>
      <c r="E12" t="b">
        <f t="shared" si="0"/>
        <v>1</v>
      </c>
      <c r="F12" t="b">
        <v>0</v>
      </c>
      <c r="G12" t="str">
        <f t="shared" si="1"/>
        <v>11&amp;FALSE&amp;FALSE&amp;FALSE\\\hline</v>
      </c>
      <c r="H12" t="b">
        <f t="shared" si="2"/>
        <v>1</v>
      </c>
      <c r="M12" t="s">
        <v>154</v>
      </c>
      <c r="N12" t="b">
        <v>0</v>
      </c>
      <c r="O12">
        <v>1</v>
      </c>
      <c r="P12" t="b">
        <v>0</v>
      </c>
      <c r="Q12" t="b">
        <v>0</v>
      </c>
      <c r="R12">
        <v>2.2599999999999998</v>
      </c>
    </row>
    <row r="13" spans="1:23" x14ac:dyDescent="0.25">
      <c r="A13">
        <v>12</v>
      </c>
      <c r="B13" t="s">
        <v>155</v>
      </c>
      <c r="C13" t="b">
        <v>0</v>
      </c>
      <c r="D13" t="b">
        <v>0</v>
      </c>
      <c r="E13" t="b">
        <f t="shared" si="0"/>
        <v>1</v>
      </c>
      <c r="F13" t="b">
        <v>0</v>
      </c>
      <c r="G13" t="str">
        <f t="shared" si="1"/>
        <v>12&amp;FALSE&amp;FALSE&amp;FALSE\\\hline</v>
      </c>
      <c r="H13" t="b">
        <f t="shared" si="2"/>
        <v>1</v>
      </c>
      <c r="M13" t="s">
        <v>155</v>
      </c>
      <c r="N13" t="b">
        <v>0</v>
      </c>
      <c r="O13">
        <v>0</v>
      </c>
      <c r="P13" t="b">
        <v>1</v>
      </c>
      <c r="Q13" t="b">
        <v>0</v>
      </c>
      <c r="R13">
        <v>2.2599999999999998</v>
      </c>
    </row>
    <row r="14" spans="1:23" x14ac:dyDescent="0.25">
      <c r="A14">
        <v>13</v>
      </c>
      <c r="B14" t="s">
        <v>156</v>
      </c>
      <c r="C14" t="b">
        <v>0</v>
      </c>
      <c r="D14" t="b">
        <v>0</v>
      </c>
      <c r="E14" t="b">
        <f t="shared" si="0"/>
        <v>1</v>
      </c>
      <c r="F14" t="b">
        <v>0</v>
      </c>
      <c r="G14" t="str">
        <f t="shared" si="1"/>
        <v>13&amp;FALSE&amp;FALSE&amp;FALSE\\\hline</v>
      </c>
      <c r="H14" t="b">
        <f t="shared" si="2"/>
        <v>1</v>
      </c>
      <c r="M14" t="s">
        <v>156</v>
      </c>
      <c r="N14" t="b">
        <v>0</v>
      </c>
      <c r="O14">
        <v>2</v>
      </c>
      <c r="P14" t="b">
        <v>0</v>
      </c>
      <c r="Q14" t="b">
        <v>1</v>
      </c>
      <c r="R14">
        <v>2.9</v>
      </c>
    </row>
    <row r="15" spans="1:23" x14ac:dyDescent="0.25">
      <c r="A15">
        <v>14</v>
      </c>
      <c r="B15" t="s">
        <v>157</v>
      </c>
      <c r="C15" t="b">
        <v>0</v>
      </c>
      <c r="D15" t="b">
        <v>0</v>
      </c>
      <c r="E15" t="b">
        <f t="shared" si="0"/>
        <v>1</v>
      </c>
      <c r="F15" t="b">
        <v>0</v>
      </c>
      <c r="G15" t="str">
        <f t="shared" si="1"/>
        <v>14&amp;FALSE&amp;FALSE&amp;FALSE\\\hline</v>
      </c>
      <c r="H15" t="b">
        <f t="shared" si="2"/>
        <v>1</v>
      </c>
      <c r="M15" t="s">
        <v>157</v>
      </c>
      <c r="N15" t="b">
        <v>0</v>
      </c>
      <c r="O15">
        <v>0</v>
      </c>
      <c r="P15" t="b">
        <v>0</v>
      </c>
      <c r="Q15" t="b">
        <v>1</v>
      </c>
      <c r="R15">
        <v>5.91</v>
      </c>
    </row>
    <row r="16" spans="1:23" x14ac:dyDescent="0.25">
      <c r="A16">
        <v>15</v>
      </c>
      <c r="B16" t="s">
        <v>158</v>
      </c>
      <c r="C16" t="b">
        <v>0</v>
      </c>
      <c r="D16" t="b">
        <v>0</v>
      </c>
      <c r="E16" t="b">
        <f t="shared" si="0"/>
        <v>1</v>
      </c>
      <c r="F16" t="b">
        <v>0</v>
      </c>
      <c r="G16" t="str">
        <f t="shared" si="1"/>
        <v>15&amp;FALSE&amp;FALSE&amp;FALSE\\\hline</v>
      </c>
      <c r="H16" t="b">
        <f t="shared" si="2"/>
        <v>1</v>
      </c>
      <c r="M16" t="s">
        <v>158</v>
      </c>
      <c r="N16" t="b">
        <v>0</v>
      </c>
      <c r="O16">
        <v>2</v>
      </c>
      <c r="P16" t="b">
        <v>0</v>
      </c>
      <c r="Q16" t="b">
        <v>1</v>
      </c>
      <c r="R16">
        <v>2.9</v>
      </c>
    </row>
    <row r="17" spans="1:18" x14ac:dyDescent="0.25">
      <c r="A17">
        <v>16</v>
      </c>
      <c r="B17" t="s">
        <v>159</v>
      </c>
      <c r="C17" t="b">
        <v>1</v>
      </c>
      <c r="D17" t="b">
        <v>0</v>
      </c>
      <c r="E17" t="b">
        <f t="shared" si="0"/>
        <v>0</v>
      </c>
      <c r="F17" t="b">
        <v>0</v>
      </c>
      <c r="G17" t="str">
        <f t="shared" si="1"/>
        <v>16&amp;FALSE&amp;FALSE&amp;TRUE\\\hline</v>
      </c>
      <c r="H17" t="b">
        <f t="shared" si="2"/>
        <v>0</v>
      </c>
      <c r="M17" t="s">
        <v>159</v>
      </c>
      <c r="N17" t="b">
        <v>1</v>
      </c>
      <c r="O17">
        <v>0</v>
      </c>
      <c r="P17" t="b">
        <v>0</v>
      </c>
      <c r="Q17" t="b">
        <v>0</v>
      </c>
      <c r="R17">
        <v>7.1</v>
      </c>
    </row>
    <row r="18" spans="1:18" x14ac:dyDescent="0.25">
      <c r="A18">
        <v>17</v>
      </c>
      <c r="B18" t="s">
        <v>160</v>
      </c>
      <c r="C18" t="b">
        <v>0</v>
      </c>
      <c r="D18" t="b">
        <v>1</v>
      </c>
      <c r="E18" t="b">
        <f t="shared" si="0"/>
        <v>0</v>
      </c>
      <c r="F18" t="b">
        <v>1</v>
      </c>
      <c r="G18" t="str">
        <f t="shared" si="1"/>
        <v>17&amp;TRUE&amp;TRUE&amp;FALSE\\\hline</v>
      </c>
      <c r="H18" t="b">
        <f t="shared" si="2"/>
        <v>0</v>
      </c>
      <c r="M18" t="s">
        <v>160</v>
      </c>
      <c r="N18" t="b">
        <v>0</v>
      </c>
      <c r="O18">
        <v>0</v>
      </c>
      <c r="P18" t="b">
        <v>1</v>
      </c>
      <c r="Q18" t="b">
        <v>1</v>
      </c>
      <c r="R18">
        <v>5.16</v>
      </c>
    </row>
    <row r="19" spans="1:18" x14ac:dyDescent="0.25">
      <c r="A19">
        <v>18</v>
      </c>
      <c r="B19" t="s">
        <v>161</v>
      </c>
      <c r="C19" t="b">
        <v>1</v>
      </c>
      <c r="D19" t="b">
        <v>1</v>
      </c>
      <c r="E19" t="b">
        <f t="shared" si="0"/>
        <v>1</v>
      </c>
      <c r="F19" t="b">
        <v>1</v>
      </c>
      <c r="G19" t="str">
        <f t="shared" si="1"/>
        <v>18&amp;TRUE&amp;TRUE&amp;TRUE\\\hline</v>
      </c>
      <c r="H19" t="b">
        <f t="shared" si="2"/>
        <v>1</v>
      </c>
      <c r="M19" t="s">
        <v>161</v>
      </c>
      <c r="N19" t="b">
        <v>1</v>
      </c>
      <c r="O19">
        <v>0</v>
      </c>
      <c r="P19" t="b">
        <v>0</v>
      </c>
      <c r="Q19" t="b">
        <v>0</v>
      </c>
      <c r="R19">
        <v>7.1</v>
      </c>
    </row>
    <row r="20" spans="1:18" x14ac:dyDescent="0.25">
      <c r="A20">
        <v>19</v>
      </c>
      <c r="B20" t="s">
        <v>162</v>
      </c>
      <c r="C20" t="b">
        <v>1</v>
      </c>
      <c r="D20" t="b">
        <v>1</v>
      </c>
      <c r="E20" t="b">
        <f t="shared" si="0"/>
        <v>1</v>
      </c>
      <c r="F20" t="b">
        <v>1</v>
      </c>
      <c r="G20" t="str">
        <f t="shared" si="1"/>
        <v>19&amp;TRUE&amp;TRUE&amp;TRUE\\\hline</v>
      </c>
      <c r="H20" t="b">
        <f t="shared" si="2"/>
        <v>1</v>
      </c>
      <c r="M20" t="s">
        <v>162</v>
      </c>
      <c r="N20" t="b">
        <v>1</v>
      </c>
      <c r="O20">
        <v>1</v>
      </c>
      <c r="P20" t="b">
        <v>0</v>
      </c>
      <c r="Q20" t="b">
        <v>1</v>
      </c>
      <c r="R20">
        <v>9.25</v>
      </c>
    </row>
    <row r="21" spans="1:18" x14ac:dyDescent="0.25">
      <c r="A21">
        <v>20</v>
      </c>
      <c r="B21" t="s">
        <v>163</v>
      </c>
      <c r="C21" t="b">
        <v>0</v>
      </c>
      <c r="D21" t="b">
        <v>0</v>
      </c>
      <c r="E21" t="b">
        <f t="shared" si="0"/>
        <v>1</v>
      </c>
      <c r="F21" t="b">
        <v>0</v>
      </c>
      <c r="G21" t="str">
        <f t="shared" si="1"/>
        <v>20&amp;FALSE&amp;FALSE&amp;FALSE\\\hline</v>
      </c>
      <c r="H21" t="b">
        <f t="shared" si="2"/>
        <v>1</v>
      </c>
      <c r="M21" t="s">
        <v>163</v>
      </c>
      <c r="N21" t="b">
        <v>0</v>
      </c>
      <c r="O21">
        <v>0</v>
      </c>
      <c r="P21" t="b">
        <v>0</v>
      </c>
      <c r="Q21" t="b">
        <v>0</v>
      </c>
      <c r="R21">
        <v>3.01</v>
      </c>
    </row>
    <row r="22" spans="1:18" x14ac:dyDescent="0.25">
      <c r="A22">
        <v>21</v>
      </c>
      <c r="B22" t="s">
        <v>164</v>
      </c>
      <c r="C22" t="b">
        <v>1</v>
      </c>
      <c r="D22" t="b">
        <v>1</v>
      </c>
      <c r="E22" t="b">
        <f t="shared" si="0"/>
        <v>1</v>
      </c>
      <c r="F22" t="b">
        <v>1</v>
      </c>
      <c r="G22" t="str">
        <f t="shared" si="1"/>
        <v>21&amp;TRUE&amp;TRUE&amp;TRUE\\\hline</v>
      </c>
      <c r="H22" t="b">
        <f t="shared" si="2"/>
        <v>1</v>
      </c>
      <c r="M22" t="s">
        <v>164</v>
      </c>
      <c r="N22" t="b">
        <v>1</v>
      </c>
      <c r="O22">
        <v>0</v>
      </c>
      <c r="P22" t="b">
        <v>0</v>
      </c>
      <c r="Q22" t="b">
        <v>0</v>
      </c>
      <c r="R22">
        <v>7.1</v>
      </c>
    </row>
    <row r="23" spans="1:18" x14ac:dyDescent="0.25">
      <c r="A23">
        <v>22</v>
      </c>
      <c r="B23" t="s">
        <v>165</v>
      </c>
      <c r="C23" t="b">
        <v>1</v>
      </c>
      <c r="D23" t="b">
        <v>1</v>
      </c>
      <c r="E23" t="b">
        <f t="shared" si="0"/>
        <v>1</v>
      </c>
      <c r="F23" t="b">
        <v>1</v>
      </c>
      <c r="G23" t="str">
        <f t="shared" si="1"/>
        <v>22&amp;TRUE&amp;TRUE&amp;TRUE\\\hline</v>
      </c>
      <c r="H23" t="b">
        <f t="shared" si="2"/>
        <v>1</v>
      </c>
      <c r="M23" t="s">
        <v>165</v>
      </c>
      <c r="N23" t="b">
        <v>1</v>
      </c>
      <c r="O23">
        <v>0</v>
      </c>
      <c r="P23" t="b">
        <v>0</v>
      </c>
      <c r="Q23" t="b">
        <v>1</v>
      </c>
      <c r="R23">
        <v>10</v>
      </c>
    </row>
    <row r="24" spans="1:18" x14ac:dyDescent="0.25">
      <c r="A24">
        <v>23</v>
      </c>
      <c r="B24" t="s">
        <v>166</v>
      </c>
      <c r="C24" t="b">
        <v>0</v>
      </c>
      <c r="D24" t="b">
        <v>0</v>
      </c>
      <c r="E24" t="b">
        <f t="shared" si="0"/>
        <v>1</v>
      </c>
      <c r="F24" t="b">
        <v>0</v>
      </c>
      <c r="G24" t="str">
        <f t="shared" si="1"/>
        <v>23&amp;FALSE&amp;FALSE&amp;FALSE\\\hline</v>
      </c>
      <c r="H24" t="b">
        <f t="shared" si="2"/>
        <v>1</v>
      </c>
      <c r="M24" t="s">
        <v>166</v>
      </c>
      <c r="N24" t="b">
        <v>0</v>
      </c>
      <c r="O24">
        <v>1</v>
      </c>
      <c r="P24" t="b">
        <v>0</v>
      </c>
      <c r="Q24" t="b">
        <v>1</v>
      </c>
      <c r="R24">
        <v>5.16</v>
      </c>
    </row>
    <row r="25" spans="1:18" x14ac:dyDescent="0.25">
      <c r="A25">
        <v>24</v>
      </c>
      <c r="B25" t="s">
        <v>167</v>
      </c>
      <c r="C25" t="b">
        <v>0</v>
      </c>
      <c r="D25" t="b">
        <v>0</v>
      </c>
      <c r="E25" t="b">
        <f t="shared" si="0"/>
        <v>1</v>
      </c>
      <c r="F25" t="b">
        <v>0</v>
      </c>
      <c r="G25" t="str">
        <f t="shared" si="1"/>
        <v>24&amp;FALSE&amp;FALSE&amp;FALSE\\\hline</v>
      </c>
      <c r="H25" t="b">
        <f t="shared" si="2"/>
        <v>1</v>
      </c>
      <c r="M25" t="s">
        <v>167</v>
      </c>
      <c r="N25" t="b">
        <v>0</v>
      </c>
      <c r="O25">
        <v>1</v>
      </c>
      <c r="P25" t="b">
        <v>0</v>
      </c>
      <c r="Q25" t="b">
        <v>1</v>
      </c>
      <c r="R25">
        <v>5.16</v>
      </c>
    </row>
    <row r="26" spans="1:18" x14ac:dyDescent="0.25">
      <c r="A26">
        <v>25</v>
      </c>
      <c r="B26" t="s">
        <v>168</v>
      </c>
      <c r="C26" t="b">
        <v>1</v>
      </c>
      <c r="D26" t="b">
        <v>0</v>
      </c>
      <c r="E26" t="b">
        <f t="shared" si="0"/>
        <v>0</v>
      </c>
      <c r="F26" t="b">
        <v>1</v>
      </c>
      <c r="G26" t="str">
        <f t="shared" si="1"/>
        <v>25&amp;FALSE&amp;TRUE&amp;TRUE\\\hline</v>
      </c>
      <c r="H26" t="b">
        <f t="shared" si="2"/>
        <v>0</v>
      </c>
      <c r="M26" t="s">
        <v>168</v>
      </c>
      <c r="N26" t="b">
        <v>1</v>
      </c>
      <c r="O26">
        <v>0</v>
      </c>
      <c r="P26" t="b">
        <v>1</v>
      </c>
      <c r="Q26" t="b">
        <v>0</v>
      </c>
      <c r="R26">
        <v>6.35</v>
      </c>
    </row>
    <row r="27" spans="1:18" x14ac:dyDescent="0.25">
      <c r="A27">
        <v>26</v>
      </c>
      <c r="B27" t="s">
        <v>169</v>
      </c>
      <c r="C27" t="b">
        <v>0</v>
      </c>
      <c r="D27" t="b">
        <v>1</v>
      </c>
      <c r="E27" t="b">
        <f t="shared" si="0"/>
        <v>0</v>
      </c>
      <c r="F27" t="b">
        <v>0</v>
      </c>
      <c r="G27" t="str">
        <f t="shared" si="1"/>
        <v>26&amp;TRUE&amp;FALSE&amp;FALSE\\\hline</v>
      </c>
      <c r="H27" t="b">
        <f t="shared" si="2"/>
        <v>0</v>
      </c>
      <c r="M27" t="s">
        <v>169</v>
      </c>
      <c r="N27" t="b">
        <v>0</v>
      </c>
      <c r="O27">
        <v>0</v>
      </c>
      <c r="P27" t="b">
        <v>1</v>
      </c>
      <c r="Q27" t="b">
        <v>0</v>
      </c>
      <c r="R27">
        <v>2.2599999999999998</v>
      </c>
    </row>
    <row r="28" spans="1:18" x14ac:dyDescent="0.25">
      <c r="A28">
        <v>27</v>
      </c>
      <c r="B28" t="s">
        <v>170</v>
      </c>
      <c r="C28" t="b">
        <v>0</v>
      </c>
      <c r="D28" t="b">
        <v>0</v>
      </c>
      <c r="E28" t="b">
        <f t="shared" si="0"/>
        <v>1</v>
      </c>
      <c r="F28" t="b">
        <v>0</v>
      </c>
      <c r="G28" t="str">
        <f t="shared" si="1"/>
        <v>27&amp;FALSE&amp;FALSE&amp;FALSE\\\hline</v>
      </c>
      <c r="H28" t="b">
        <f t="shared" si="2"/>
        <v>1</v>
      </c>
      <c r="M28" t="s">
        <v>170</v>
      </c>
      <c r="N28" t="b">
        <v>0</v>
      </c>
      <c r="O28">
        <v>1</v>
      </c>
      <c r="P28" t="b">
        <v>0</v>
      </c>
      <c r="Q28" t="b">
        <v>0</v>
      </c>
      <c r="R28">
        <v>2.2599999999999998</v>
      </c>
    </row>
    <row r="29" spans="1:18" x14ac:dyDescent="0.25">
      <c r="A29">
        <v>28</v>
      </c>
      <c r="B29" t="s">
        <v>171</v>
      </c>
      <c r="C29" t="b">
        <v>0</v>
      </c>
      <c r="D29" t="b">
        <v>0</v>
      </c>
      <c r="E29" t="b">
        <f t="shared" si="0"/>
        <v>1</v>
      </c>
      <c r="F29" t="b">
        <v>1</v>
      </c>
      <c r="G29" t="str">
        <f t="shared" si="1"/>
        <v>28&amp;FALSE&amp;TRUE&amp;FALSE\\\hline</v>
      </c>
      <c r="H29" t="b">
        <f t="shared" si="2"/>
        <v>1</v>
      </c>
      <c r="M29" t="s">
        <v>171</v>
      </c>
      <c r="N29" t="b">
        <v>0</v>
      </c>
      <c r="O29">
        <v>2</v>
      </c>
      <c r="P29" t="b">
        <v>0</v>
      </c>
      <c r="Q29" t="b">
        <v>1</v>
      </c>
      <c r="R29">
        <v>2.9</v>
      </c>
    </row>
    <row r="30" spans="1:18" x14ac:dyDescent="0.25">
      <c r="A30">
        <v>29</v>
      </c>
      <c r="B30" t="s">
        <v>172</v>
      </c>
      <c r="C30" t="b">
        <v>0</v>
      </c>
      <c r="D30" t="b">
        <v>0</v>
      </c>
      <c r="E30" t="b">
        <f t="shared" si="0"/>
        <v>1</v>
      </c>
      <c r="F30" t="b">
        <v>0</v>
      </c>
      <c r="G30" t="str">
        <f t="shared" si="1"/>
        <v>29&amp;FALSE&amp;FALSE&amp;FALSE\\\hline</v>
      </c>
      <c r="H30" t="b">
        <f t="shared" si="2"/>
        <v>1</v>
      </c>
      <c r="M30" t="s">
        <v>172</v>
      </c>
      <c r="N30" t="b">
        <v>0</v>
      </c>
      <c r="O30">
        <v>2</v>
      </c>
      <c r="P30" t="b">
        <v>0</v>
      </c>
      <c r="Q30" t="b">
        <v>1</v>
      </c>
      <c r="R30">
        <v>2.9</v>
      </c>
    </row>
    <row r="31" spans="1:18" x14ac:dyDescent="0.25">
      <c r="A31">
        <v>30</v>
      </c>
      <c r="B31" t="s">
        <v>173</v>
      </c>
      <c r="C31" t="b">
        <v>0</v>
      </c>
      <c r="D31" t="b">
        <v>0</v>
      </c>
      <c r="E31" t="b">
        <f t="shared" si="0"/>
        <v>1</v>
      </c>
      <c r="F31" t="b">
        <v>0</v>
      </c>
      <c r="G31" t="str">
        <f t="shared" si="1"/>
        <v>30&amp;FALSE&amp;FALSE&amp;FALSE\\\hline</v>
      </c>
      <c r="H31" t="b">
        <f t="shared" si="2"/>
        <v>1</v>
      </c>
      <c r="M31" t="s">
        <v>173</v>
      </c>
      <c r="N31" t="b">
        <v>0</v>
      </c>
      <c r="O31">
        <v>2</v>
      </c>
      <c r="P31" t="b">
        <v>0</v>
      </c>
      <c r="Q31" t="b">
        <v>0</v>
      </c>
      <c r="R31">
        <v>0</v>
      </c>
    </row>
    <row r="32" spans="1:18" x14ac:dyDescent="0.25">
      <c r="A32">
        <v>31</v>
      </c>
      <c r="B32" t="s">
        <v>174</v>
      </c>
      <c r="C32" t="b">
        <v>1</v>
      </c>
      <c r="D32" t="b">
        <v>1</v>
      </c>
      <c r="E32" t="b">
        <f t="shared" si="0"/>
        <v>1</v>
      </c>
      <c r="F32" t="b">
        <v>1</v>
      </c>
      <c r="G32" t="str">
        <f t="shared" si="1"/>
        <v>31&amp;TRUE&amp;TRUE&amp;TRUE\\\hline</v>
      </c>
      <c r="H32" t="b">
        <f t="shared" si="2"/>
        <v>1</v>
      </c>
      <c r="M32" t="s">
        <v>174</v>
      </c>
      <c r="N32" t="b">
        <v>1</v>
      </c>
      <c r="O32">
        <v>1</v>
      </c>
      <c r="P32" t="b">
        <v>0</v>
      </c>
      <c r="Q32" t="b">
        <v>1</v>
      </c>
      <c r="R32">
        <v>9.25</v>
      </c>
    </row>
    <row r="33" spans="1:18" x14ac:dyDescent="0.25">
      <c r="A33">
        <v>32</v>
      </c>
      <c r="B33" t="s">
        <v>175</v>
      </c>
      <c r="C33" t="b">
        <v>1</v>
      </c>
      <c r="D33" t="b">
        <v>1</v>
      </c>
      <c r="E33" t="b">
        <f t="shared" si="0"/>
        <v>1</v>
      </c>
      <c r="F33" t="s">
        <v>206</v>
      </c>
      <c r="G33" t="str">
        <f t="shared" si="1"/>
        <v>32&amp;TRUE&amp;DRAW&amp;TRUE\\\hline</v>
      </c>
      <c r="H33" t="b">
        <f t="shared" si="2"/>
        <v>1</v>
      </c>
      <c r="M33" t="s">
        <v>175</v>
      </c>
      <c r="N33" t="b">
        <v>1</v>
      </c>
      <c r="O33">
        <v>0</v>
      </c>
      <c r="P33" t="b">
        <v>0</v>
      </c>
      <c r="Q33" t="b">
        <v>1</v>
      </c>
      <c r="R33">
        <v>10</v>
      </c>
    </row>
    <row r="34" spans="1:18" x14ac:dyDescent="0.25">
      <c r="A34">
        <v>33</v>
      </c>
      <c r="B34" t="s">
        <v>176</v>
      </c>
      <c r="C34" t="b">
        <v>0</v>
      </c>
      <c r="D34" t="b">
        <v>0</v>
      </c>
      <c r="E34" t="b">
        <f t="shared" si="0"/>
        <v>1</v>
      </c>
      <c r="F34" t="b">
        <v>0</v>
      </c>
      <c r="G34" t="str">
        <f t="shared" si="1"/>
        <v>33&amp;FALSE&amp;FALSE&amp;FALSE\\\hline</v>
      </c>
      <c r="H34" t="b">
        <f t="shared" si="2"/>
        <v>1</v>
      </c>
      <c r="M34" t="s">
        <v>176</v>
      </c>
      <c r="N34" t="b">
        <v>0</v>
      </c>
      <c r="O34">
        <v>1</v>
      </c>
      <c r="P34" t="b">
        <v>0</v>
      </c>
      <c r="Q34" t="b">
        <v>1</v>
      </c>
      <c r="R34">
        <v>5.16</v>
      </c>
    </row>
    <row r="35" spans="1:18" x14ac:dyDescent="0.25">
      <c r="A35">
        <v>34</v>
      </c>
      <c r="B35" t="s">
        <v>177</v>
      </c>
      <c r="C35" t="b">
        <v>0</v>
      </c>
      <c r="D35" t="b">
        <v>0</v>
      </c>
      <c r="E35" t="b">
        <f t="shared" si="0"/>
        <v>1</v>
      </c>
      <c r="F35" t="b">
        <v>0</v>
      </c>
      <c r="G35" t="str">
        <f t="shared" si="1"/>
        <v>34&amp;FALSE&amp;FALSE&amp;FALSE\\\hline</v>
      </c>
      <c r="H35" t="b">
        <f t="shared" si="2"/>
        <v>1</v>
      </c>
      <c r="M35" t="s">
        <v>177</v>
      </c>
      <c r="N35" t="b">
        <v>0</v>
      </c>
      <c r="O35">
        <v>0</v>
      </c>
      <c r="P35" t="b">
        <v>1</v>
      </c>
      <c r="Q35" t="b">
        <v>1</v>
      </c>
      <c r="R35">
        <v>5.16</v>
      </c>
    </row>
    <row r="36" spans="1:18" x14ac:dyDescent="0.25">
      <c r="A36">
        <v>35</v>
      </c>
      <c r="B36" t="s">
        <v>178</v>
      </c>
      <c r="C36" t="b">
        <v>0</v>
      </c>
      <c r="D36" t="b">
        <v>0</v>
      </c>
      <c r="E36" t="b">
        <f t="shared" si="0"/>
        <v>1</v>
      </c>
      <c r="F36" t="b">
        <v>0</v>
      </c>
      <c r="G36" t="str">
        <f t="shared" si="1"/>
        <v>35&amp;FALSE&amp;FALSE&amp;FALSE\\\hline</v>
      </c>
      <c r="H36" t="b">
        <f t="shared" si="2"/>
        <v>1</v>
      </c>
      <c r="M36" t="s">
        <v>178</v>
      </c>
      <c r="N36" t="b">
        <v>0</v>
      </c>
      <c r="O36">
        <v>1</v>
      </c>
      <c r="P36" t="b">
        <v>0</v>
      </c>
      <c r="Q36" t="b">
        <v>1</v>
      </c>
      <c r="R36">
        <v>5.16</v>
      </c>
    </row>
    <row r="37" spans="1:18" x14ac:dyDescent="0.25">
      <c r="A37">
        <v>36</v>
      </c>
      <c r="B37" t="s">
        <v>179</v>
      </c>
      <c r="C37" t="b">
        <v>0</v>
      </c>
      <c r="D37" t="b">
        <v>0</v>
      </c>
      <c r="E37" t="b">
        <f t="shared" si="0"/>
        <v>1</v>
      </c>
      <c r="F37" t="b">
        <v>0</v>
      </c>
      <c r="G37" t="str">
        <f t="shared" si="1"/>
        <v>36&amp;FALSE&amp;FALSE&amp;FALSE\\\hline</v>
      </c>
      <c r="H37" t="b">
        <f t="shared" si="2"/>
        <v>1</v>
      </c>
      <c r="M37" t="s">
        <v>179</v>
      </c>
      <c r="N37" t="b">
        <v>0</v>
      </c>
      <c r="O37">
        <v>0</v>
      </c>
      <c r="P37" t="b">
        <v>1</v>
      </c>
      <c r="Q37" t="b">
        <v>1</v>
      </c>
      <c r="R37">
        <v>5.16</v>
      </c>
    </row>
    <row r="38" spans="1:18" x14ac:dyDescent="0.25">
      <c r="A38">
        <v>37</v>
      </c>
      <c r="B38" t="s">
        <v>180</v>
      </c>
      <c r="C38" t="b">
        <v>0</v>
      </c>
      <c r="D38" t="b">
        <v>0</v>
      </c>
      <c r="E38" t="b">
        <f t="shared" si="0"/>
        <v>1</v>
      </c>
      <c r="F38" t="b">
        <v>0</v>
      </c>
      <c r="G38" t="str">
        <f t="shared" si="1"/>
        <v>37&amp;FALSE&amp;FALSE&amp;FALSE\\\hline</v>
      </c>
      <c r="H38" t="b">
        <f t="shared" si="2"/>
        <v>1</v>
      </c>
      <c r="M38" t="s">
        <v>180</v>
      </c>
      <c r="N38" t="b">
        <v>0</v>
      </c>
      <c r="O38">
        <v>1</v>
      </c>
      <c r="P38" t="b">
        <v>0</v>
      </c>
      <c r="Q38" t="b">
        <v>0</v>
      </c>
      <c r="R38">
        <v>2.2599999999999998</v>
      </c>
    </row>
    <row r="39" spans="1:18" x14ac:dyDescent="0.25">
      <c r="A39">
        <v>38</v>
      </c>
      <c r="B39" t="s">
        <v>181</v>
      </c>
      <c r="C39" t="b">
        <v>0</v>
      </c>
      <c r="D39" t="b">
        <v>0</v>
      </c>
      <c r="E39" t="b">
        <f t="shared" si="0"/>
        <v>1</v>
      </c>
      <c r="F39" t="b">
        <v>0</v>
      </c>
      <c r="G39" t="str">
        <f t="shared" si="1"/>
        <v>38&amp;FALSE&amp;FALSE&amp;FALSE\\\hline</v>
      </c>
      <c r="H39" t="b">
        <f t="shared" si="2"/>
        <v>1</v>
      </c>
      <c r="M39" t="s">
        <v>181</v>
      </c>
      <c r="N39" t="b">
        <v>0</v>
      </c>
      <c r="O39">
        <v>0</v>
      </c>
      <c r="P39" t="b">
        <v>0</v>
      </c>
      <c r="Q39" t="b">
        <v>0</v>
      </c>
      <c r="R39">
        <v>3.01</v>
      </c>
    </row>
    <row r="40" spans="1:18" x14ac:dyDescent="0.25">
      <c r="A40">
        <v>39</v>
      </c>
      <c r="B40" t="s">
        <v>182</v>
      </c>
      <c r="C40" t="b">
        <v>0</v>
      </c>
      <c r="D40" t="b">
        <v>0</v>
      </c>
      <c r="E40" t="b">
        <f t="shared" si="0"/>
        <v>1</v>
      </c>
      <c r="F40" t="b">
        <v>0</v>
      </c>
      <c r="G40" t="str">
        <f t="shared" si="1"/>
        <v>39&amp;FALSE&amp;FALSE&amp;FALSE\\\hline</v>
      </c>
      <c r="H40" t="b">
        <f t="shared" si="2"/>
        <v>1</v>
      </c>
      <c r="M40" t="s">
        <v>182</v>
      </c>
      <c r="N40" t="b">
        <v>0</v>
      </c>
      <c r="O40">
        <v>1</v>
      </c>
      <c r="P40" t="b">
        <v>0</v>
      </c>
      <c r="Q40" t="b">
        <v>0</v>
      </c>
      <c r="R40">
        <v>2.2599999999999998</v>
      </c>
    </row>
    <row r="41" spans="1:18" x14ac:dyDescent="0.25">
      <c r="A41">
        <v>40</v>
      </c>
      <c r="B41" t="s">
        <v>183</v>
      </c>
      <c r="C41" t="b">
        <v>1</v>
      </c>
      <c r="D41" t="b">
        <v>1</v>
      </c>
      <c r="E41" t="b">
        <f t="shared" si="0"/>
        <v>1</v>
      </c>
      <c r="F41" t="b">
        <v>1</v>
      </c>
      <c r="G41" t="str">
        <f t="shared" si="1"/>
        <v>40&amp;TRUE&amp;TRUE&amp;TRUE\\\hline</v>
      </c>
      <c r="H41" t="b">
        <f t="shared" si="2"/>
        <v>1</v>
      </c>
      <c r="M41" t="s">
        <v>183</v>
      </c>
      <c r="N41" t="b">
        <v>1</v>
      </c>
      <c r="O41">
        <v>0</v>
      </c>
      <c r="P41" t="b">
        <v>1</v>
      </c>
      <c r="Q41" t="b">
        <v>0</v>
      </c>
      <c r="R41">
        <v>6.35</v>
      </c>
    </row>
    <row r="42" spans="1:18" x14ac:dyDescent="0.25">
      <c r="A42">
        <v>41</v>
      </c>
      <c r="B42" t="s">
        <v>184</v>
      </c>
      <c r="C42" t="b">
        <v>0</v>
      </c>
      <c r="D42" t="b">
        <v>0</v>
      </c>
      <c r="E42" t="b">
        <f t="shared" si="0"/>
        <v>1</v>
      </c>
      <c r="F42" t="b">
        <v>0</v>
      </c>
      <c r="G42" t="str">
        <f t="shared" si="1"/>
        <v>41&amp;FALSE&amp;FALSE&amp;FALSE\\\hline</v>
      </c>
      <c r="H42" t="b">
        <f t="shared" si="2"/>
        <v>1</v>
      </c>
      <c r="M42" t="s">
        <v>184</v>
      </c>
      <c r="N42" t="b">
        <v>0</v>
      </c>
      <c r="O42">
        <v>1</v>
      </c>
      <c r="P42" t="b">
        <v>0</v>
      </c>
      <c r="Q42" t="b">
        <v>0</v>
      </c>
      <c r="R42">
        <v>2.2599999999999998</v>
      </c>
    </row>
    <row r="43" spans="1:18" x14ac:dyDescent="0.25">
      <c r="A43">
        <v>42</v>
      </c>
      <c r="B43" t="s">
        <v>185</v>
      </c>
      <c r="C43" t="b">
        <v>1</v>
      </c>
      <c r="D43" t="b">
        <v>1</v>
      </c>
      <c r="E43" t="b">
        <f t="shared" si="0"/>
        <v>1</v>
      </c>
      <c r="F43" t="b">
        <v>1</v>
      </c>
      <c r="G43" t="str">
        <f t="shared" si="1"/>
        <v>42&amp;TRUE&amp;TRUE&amp;TRUE\\\hline</v>
      </c>
      <c r="H43" t="b">
        <f t="shared" si="2"/>
        <v>1</v>
      </c>
      <c r="M43" t="s">
        <v>185</v>
      </c>
      <c r="N43" t="b">
        <v>1</v>
      </c>
      <c r="O43">
        <v>0</v>
      </c>
      <c r="P43" t="b">
        <v>1</v>
      </c>
      <c r="Q43" t="b">
        <v>1</v>
      </c>
      <c r="R43">
        <v>9.25</v>
      </c>
    </row>
    <row r="44" spans="1:18" x14ac:dyDescent="0.25">
      <c r="A44">
        <v>43</v>
      </c>
      <c r="B44" t="s">
        <v>186</v>
      </c>
      <c r="C44" t="b">
        <v>1</v>
      </c>
      <c r="D44" t="b">
        <v>1</v>
      </c>
      <c r="E44" t="b">
        <f t="shared" si="0"/>
        <v>1</v>
      </c>
      <c r="F44" t="b">
        <v>1</v>
      </c>
      <c r="G44" t="str">
        <f t="shared" si="1"/>
        <v>43&amp;TRUE&amp;TRUE&amp;TRUE\\\hline</v>
      </c>
      <c r="H44" t="b">
        <f t="shared" si="2"/>
        <v>1</v>
      </c>
      <c r="M44" t="s">
        <v>186</v>
      </c>
      <c r="N44" t="b">
        <v>1</v>
      </c>
      <c r="O44">
        <v>1</v>
      </c>
      <c r="P44" t="b">
        <v>0</v>
      </c>
      <c r="Q44" t="b">
        <v>1</v>
      </c>
      <c r="R44">
        <v>9.25</v>
      </c>
    </row>
    <row r="45" spans="1:18" x14ac:dyDescent="0.25">
      <c r="A45">
        <v>44</v>
      </c>
      <c r="B45" t="s">
        <v>187</v>
      </c>
      <c r="C45" t="b">
        <v>1</v>
      </c>
      <c r="D45" t="b">
        <v>1</v>
      </c>
      <c r="E45" t="b">
        <f t="shared" si="0"/>
        <v>1</v>
      </c>
      <c r="F45" t="b">
        <v>1</v>
      </c>
      <c r="G45" t="str">
        <f t="shared" si="1"/>
        <v>44&amp;TRUE&amp;TRUE&amp;TRUE\\\hline</v>
      </c>
      <c r="H45" t="b">
        <f t="shared" si="2"/>
        <v>1</v>
      </c>
      <c r="M45" t="s">
        <v>187</v>
      </c>
      <c r="N45" t="b">
        <v>1</v>
      </c>
      <c r="O45">
        <v>0</v>
      </c>
      <c r="P45" t="b">
        <v>1</v>
      </c>
      <c r="Q45" t="b">
        <v>0</v>
      </c>
      <c r="R45">
        <v>6.35</v>
      </c>
    </row>
    <row r="46" spans="1:18" x14ac:dyDescent="0.25">
      <c r="A46">
        <v>45</v>
      </c>
      <c r="B46" t="s">
        <v>188</v>
      </c>
      <c r="C46" t="b">
        <v>1</v>
      </c>
      <c r="D46" t="b">
        <v>1</v>
      </c>
      <c r="E46" t="b">
        <f t="shared" si="0"/>
        <v>1</v>
      </c>
      <c r="F46" t="b">
        <v>1</v>
      </c>
      <c r="G46" t="str">
        <f t="shared" si="1"/>
        <v>45&amp;TRUE&amp;TRUE&amp;TRUE\\\hline</v>
      </c>
      <c r="H46" t="b">
        <f t="shared" si="2"/>
        <v>1</v>
      </c>
      <c r="M46" t="s">
        <v>188</v>
      </c>
      <c r="N46" t="b">
        <v>1</v>
      </c>
      <c r="O46">
        <v>0</v>
      </c>
      <c r="P46" t="b">
        <v>1</v>
      </c>
      <c r="Q46" t="b">
        <v>0</v>
      </c>
      <c r="R46">
        <v>6.35</v>
      </c>
    </row>
    <row r="47" spans="1:18" x14ac:dyDescent="0.25">
      <c r="A47">
        <v>46</v>
      </c>
      <c r="B47" t="s">
        <v>189</v>
      </c>
      <c r="C47" t="b">
        <v>0</v>
      </c>
      <c r="D47" t="b">
        <v>0</v>
      </c>
      <c r="E47" t="b">
        <f t="shared" si="0"/>
        <v>1</v>
      </c>
      <c r="F47" t="b">
        <v>0</v>
      </c>
      <c r="G47" t="str">
        <f t="shared" si="1"/>
        <v>46&amp;FALSE&amp;FALSE&amp;FALSE\\\hline</v>
      </c>
      <c r="H47" t="b">
        <f t="shared" si="2"/>
        <v>1</v>
      </c>
      <c r="M47" t="s">
        <v>189</v>
      </c>
      <c r="N47" t="b">
        <v>0</v>
      </c>
      <c r="O47">
        <v>2</v>
      </c>
      <c r="P47" t="b">
        <v>0</v>
      </c>
      <c r="Q47" t="b">
        <v>1</v>
      </c>
      <c r="R47">
        <v>2.9</v>
      </c>
    </row>
    <row r="48" spans="1:18" x14ac:dyDescent="0.25">
      <c r="A48">
        <v>47</v>
      </c>
      <c r="B48" t="s">
        <v>190</v>
      </c>
      <c r="C48" t="b">
        <v>0</v>
      </c>
      <c r="D48" t="b">
        <v>0</v>
      </c>
      <c r="E48" t="b">
        <f t="shared" si="0"/>
        <v>1</v>
      </c>
      <c r="F48" t="b">
        <v>0</v>
      </c>
      <c r="G48" t="str">
        <f t="shared" si="1"/>
        <v>47&amp;FALSE&amp;FALSE&amp;FALSE\\\hline</v>
      </c>
      <c r="H48" t="b">
        <f t="shared" si="2"/>
        <v>1</v>
      </c>
      <c r="M48" t="s">
        <v>190</v>
      </c>
      <c r="N48" t="b">
        <v>0</v>
      </c>
      <c r="O48">
        <v>2</v>
      </c>
      <c r="P48" t="b">
        <v>0</v>
      </c>
      <c r="Q48" t="b">
        <v>1</v>
      </c>
      <c r="R48">
        <v>2.9</v>
      </c>
    </row>
    <row r="49" spans="1:18" x14ac:dyDescent="0.25">
      <c r="A49">
        <v>48</v>
      </c>
      <c r="B49" t="s">
        <v>191</v>
      </c>
      <c r="C49" t="b">
        <v>0</v>
      </c>
      <c r="D49" t="b">
        <v>0</v>
      </c>
      <c r="E49" t="b">
        <f t="shared" si="0"/>
        <v>1</v>
      </c>
      <c r="F49" t="b">
        <v>1</v>
      </c>
      <c r="G49" t="str">
        <f t="shared" si="1"/>
        <v>48&amp;FALSE&amp;TRUE&amp;FALSE\\\hline</v>
      </c>
      <c r="H49" t="b">
        <f t="shared" si="2"/>
        <v>1</v>
      </c>
      <c r="M49" t="s">
        <v>191</v>
      </c>
      <c r="N49" t="b">
        <v>0</v>
      </c>
      <c r="O49">
        <v>2</v>
      </c>
      <c r="P49" t="b">
        <v>0</v>
      </c>
      <c r="Q49" t="b">
        <v>1</v>
      </c>
      <c r="R49">
        <v>2.9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D6B5-E1B3-404D-9069-5BDD383306B4}">
  <dimension ref="A1:W49"/>
  <sheetViews>
    <sheetView tabSelected="1" topLeftCell="D1" workbookViewId="0">
      <selection activeCell="V7" sqref="V7"/>
    </sheetView>
  </sheetViews>
  <sheetFormatPr defaultRowHeight="15" x14ac:dyDescent="0.25"/>
  <cols>
    <col min="2" max="2" width="14.140625" bestFit="1" customWidth="1"/>
    <col min="3" max="3" width="7.85546875" bestFit="1" customWidth="1"/>
    <col min="4" max="4" width="17" bestFit="1" customWidth="1"/>
    <col min="5" max="5" width="12" bestFit="1" customWidth="1"/>
    <col min="7" max="7" width="50.140625" bestFit="1" customWidth="1"/>
    <col min="12" max="12" width="36" bestFit="1" customWidth="1"/>
  </cols>
  <sheetData>
    <row r="1" spans="1:23" x14ac:dyDescent="0.25">
      <c r="A1" t="s">
        <v>142</v>
      </c>
      <c r="C1" t="s">
        <v>200</v>
      </c>
      <c r="D1" t="s">
        <v>203</v>
      </c>
      <c r="E1">
        <f>COUNTIF(E2:E49,"TRUE")</f>
        <v>35</v>
      </c>
      <c r="G1" t="s">
        <v>204</v>
      </c>
    </row>
    <row r="2" spans="1:23" x14ac:dyDescent="0.25">
      <c r="A2">
        <v>1</v>
      </c>
      <c r="B2" t="s">
        <v>144</v>
      </c>
      <c r="C2" t="s">
        <v>211</v>
      </c>
      <c r="D2" t="s">
        <v>210</v>
      </c>
      <c r="E2" t="b">
        <f t="shared" ref="E2:E49" si="0">C2=D2</f>
        <v>0</v>
      </c>
      <c r="F2" t="e">
        <f>#REF!=D2</f>
        <v>#REF!</v>
      </c>
      <c r="G2" t="str">
        <f>_xlfn.CONCAT(A2,"&amp;",D2,"&amp;",C2,"\\\hline")</f>
        <v>1&amp;LOCAL&amp;MAJOR\\\hline</v>
      </c>
      <c r="H2">
        <f>COUNTIF(E2:E49,"TRUE")</f>
        <v>35</v>
      </c>
      <c r="I2">
        <f>COUNTIF(E2:E49,"TRUE")/48</f>
        <v>0.72916666666666663</v>
      </c>
      <c r="L2" t="s">
        <v>144</v>
      </c>
      <c r="M2" t="b">
        <v>1</v>
      </c>
      <c r="N2">
        <v>0</v>
      </c>
      <c r="O2" t="b">
        <v>1</v>
      </c>
      <c r="P2" t="b">
        <v>0</v>
      </c>
      <c r="Q2">
        <v>6.35</v>
      </c>
      <c r="R2" t="str">
        <f>IF(P2=FALSE,"MAJOR","LOCAL")</f>
        <v>MAJOR</v>
      </c>
      <c r="W2" t="s">
        <v>218</v>
      </c>
    </row>
    <row r="3" spans="1:23" x14ac:dyDescent="0.25">
      <c r="A3">
        <v>2</v>
      </c>
      <c r="B3" t="s">
        <v>145</v>
      </c>
      <c r="C3" t="s">
        <v>210</v>
      </c>
      <c r="D3" t="s">
        <v>211</v>
      </c>
      <c r="E3" t="b">
        <f t="shared" si="0"/>
        <v>0</v>
      </c>
      <c r="F3" t="e">
        <f>#REF!=D3</f>
        <v>#REF!</v>
      </c>
      <c r="G3" t="str">
        <f t="shared" ref="G3:G49" si="1">_xlfn.CONCAT(A3,"&amp;",D3,"&amp;",C3,"\\\hline")</f>
        <v>2&amp;MAJOR&amp;LOCAL\\\hline</v>
      </c>
      <c r="L3" t="s">
        <v>145</v>
      </c>
      <c r="M3" t="b">
        <v>0</v>
      </c>
      <c r="N3">
        <v>0</v>
      </c>
      <c r="O3" t="b">
        <v>1</v>
      </c>
      <c r="P3" t="b">
        <v>1</v>
      </c>
      <c r="Q3">
        <v>5.16</v>
      </c>
      <c r="R3" t="str">
        <f t="shared" ref="R3:R49" si="2">IF(P3=FALSE,"MAJOR","LOCAL")</f>
        <v>LOCAL</v>
      </c>
      <c r="V3" t="s">
        <v>211</v>
      </c>
      <c r="W3" t="s">
        <v>210</v>
      </c>
    </row>
    <row r="4" spans="1:23" x14ac:dyDescent="0.25">
      <c r="A4">
        <v>3</v>
      </c>
      <c r="B4" t="s">
        <v>146</v>
      </c>
      <c r="C4" t="s">
        <v>210</v>
      </c>
      <c r="D4" t="s">
        <v>210</v>
      </c>
      <c r="E4" t="b">
        <f t="shared" si="0"/>
        <v>1</v>
      </c>
      <c r="F4" t="e">
        <f>#REF!=D4</f>
        <v>#REF!</v>
      </c>
      <c r="G4" t="str">
        <f t="shared" si="1"/>
        <v>3&amp;LOCAL&amp;LOCAL\\\hline</v>
      </c>
      <c r="L4" t="s">
        <v>146</v>
      </c>
      <c r="M4" t="b">
        <v>0</v>
      </c>
      <c r="N4">
        <v>2</v>
      </c>
      <c r="O4" t="b">
        <v>0</v>
      </c>
      <c r="P4" t="b">
        <v>1</v>
      </c>
      <c r="Q4">
        <v>2.9</v>
      </c>
      <c r="R4" t="str">
        <f t="shared" si="2"/>
        <v>LOCAL</v>
      </c>
      <c r="U4" t="s">
        <v>211</v>
      </c>
      <c r="V4">
        <f>COUNTIFS(C2:C49,"=MAJOR",D2:D49,"=MAJOR")</f>
        <v>11</v>
      </c>
      <c r="W4">
        <f>COUNTIFS(C2:C49,"=MAJOR",D2:D49,"=LOCAL")</f>
        <v>9</v>
      </c>
    </row>
    <row r="5" spans="1:23" x14ac:dyDescent="0.25">
      <c r="A5">
        <v>4</v>
      </c>
      <c r="B5" t="s">
        <v>147</v>
      </c>
      <c r="C5" t="s">
        <v>210</v>
      </c>
      <c r="D5" t="s">
        <v>210</v>
      </c>
      <c r="E5" t="b">
        <f t="shared" si="0"/>
        <v>1</v>
      </c>
      <c r="F5" t="e">
        <f>#REF!=D5</f>
        <v>#REF!</v>
      </c>
      <c r="G5" t="str">
        <f t="shared" si="1"/>
        <v>4&amp;LOCAL&amp;LOCAL\\\hline</v>
      </c>
      <c r="L5" t="s">
        <v>147</v>
      </c>
      <c r="M5" t="b">
        <v>0</v>
      </c>
      <c r="N5">
        <v>0</v>
      </c>
      <c r="O5" t="b">
        <v>0</v>
      </c>
      <c r="P5" t="b">
        <v>1</v>
      </c>
      <c r="Q5">
        <v>5.91</v>
      </c>
      <c r="R5" t="str">
        <f t="shared" si="2"/>
        <v>LOCAL</v>
      </c>
      <c r="T5" t="s">
        <v>220</v>
      </c>
      <c r="U5" t="s">
        <v>210</v>
      </c>
      <c r="V5">
        <f>COUNTIFS(C2:C49,"=LOCAL",D2:D49,"=MAJOR")</f>
        <v>3</v>
      </c>
      <c r="W5">
        <f>COUNTIFS(C2:C49,"=LOCAL",D2:D49,"=LOCAL")</f>
        <v>24</v>
      </c>
    </row>
    <row r="6" spans="1:23" x14ac:dyDescent="0.25">
      <c r="A6">
        <v>5</v>
      </c>
      <c r="B6" t="s">
        <v>148</v>
      </c>
      <c r="C6" t="s">
        <v>211</v>
      </c>
      <c r="D6" t="s">
        <v>211</v>
      </c>
      <c r="E6" t="b">
        <f t="shared" si="0"/>
        <v>1</v>
      </c>
      <c r="F6" t="e">
        <f>#REF!=D6</f>
        <v>#REF!</v>
      </c>
      <c r="G6" t="str">
        <f t="shared" si="1"/>
        <v>5&amp;MAJOR&amp;MAJOR\\\hline</v>
      </c>
      <c r="L6" t="s">
        <v>148</v>
      </c>
      <c r="M6" t="b">
        <v>0</v>
      </c>
      <c r="N6">
        <v>0</v>
      </c>
      <c r="O6" t="b">
        <v>0</v>
      </c>
      <c r="P6" t="b">
        <v>0</v>
      </c>
      <c r="Q6">
        <v>3.01</v>
      </c>
      <c r="R6" t="str">
        <f t="shared" si="2"/>
        <v>MAJOR</v>
      </c>
    </row>
    <row r="7" spans="1:23" x14ac:dyDescent="0.25">
      <c r="A7">
        <v>6</v>
      </c>
      <c r="B7" t="s">
        <v>149</v>
      </c>
      <c r="C7" t="s">
        <v>210</v>
      </c>
      <c r="D7" t="s">
        <v>210</v>
      </c>
      <c r="E7" t="b">
        <f t="shared" si="0"/>
        <v>1</v>
      </c>
      <c r="F7" t="e">
        <f>#REF!=D7</f>
        <v>#REF!</v>
      </c>
      <c r="G7" t="str">
        <f t="shared" si="1"/>
        <v>6&amp;LOCAL&amp;LOCAL\\\hline</v>
      </c>
      <c r="L7" t="s">
        <v>149</v>
      </c>
      <c r="M7" t="b">
        <v>0</v>
      </c>
      <c r="N7">
        <v>0</v>
      </c>
      <c r="O7" t="b">
        <v>0</v>
      </c>
      <c r="P7" t="b">
        <v>1</v>
      </c>
      <c r="Q7">
        <v>5.91</v>
      </c>
      <c r="R7" t="str">
        <f t="shared" si="2"/>
        <v>LOCAL</v>
      </c>
    </row>
    <row r="8" spans="1:23" x14ac:dyDescent="0.25">
      <c r="A8">
        <v>7</v>
      </c>
      <c r="B8" t="s">
        <v>150</v>
      </c>
      <c r="C8" t="s">
        <v>211</v>
      </c>
      <c r="D8" t="s">
        <v>210</v>
      </c>
      <c r="E8" t="b">
        <f t="shared" si="0"/>
        <v>0</v>
      </c>
      <c r="F8" t="e">
        <f>#REF!=D8</f>
        <v>#REF!</v>
      </c>
      <c r="G8" t="str">
        <f t="shared" si="1"/>
        <v>7&amp;LOCAL&amp;MAJOR\\\hline</v>
      </c>
      <c r="L8" t="s">
        <v>150</v>
      </c>
      <c r="M8" t="b">
        <v>0</v>
      </c>
      <c r="N8">
        <v>1</v>
      </c>
      <c r="O8" t="b">
        <v>0</v>
      </c>
      <c r="P8" t="b">
        <v>0</v>
      </c>
      <c r="Q8">
        <v>2.2599999999999998</v>
      </c>
      <c r="R8" t="str">
        <f t="shared" si="2"/>
        <v>MAJOR</v>
      </c>
    </row>
    <row r="9" spans="1:23" x14ac:dyDescent="0.25">
      <c r="A9">
        <v>8</v>
      </c>
      <c r="B9" t="s">
        <v>151</v>
      </c>
      <c r="C9" t="s">
        <v>211</v>
      </c>
      <c r="D9" t="s">
        <v>206</v>
      </c>
      <c r="E9" t="b">
        <f t="shared" si="0"/>
        <v>0</v>
      </c>
      <c r="F9" t="e">
        <f>#REF!=D9</f>
        <v>#REF!</v>
      </c>
      <c r="G9" t="str">
        <f t="shared" si="1"/>
        <v>8&amp;DRAW&amp;MAJOR\\\hline</v>
      </c>
      <c r="L9" t="s">
        <v>151</v>
      </c>
      <c r="M9" t="b">
        <v>1</v>
      </c>
      <c r="N9">
        <v>0</v>
      </c>
      <c r="O9" t="b">
        <v>0</v>
      </c>
      <c r="P9" t="b">
        <v>0</v>
      </c>
      <c r="Q9">
        <v>7.1</v>
      </c>
      <c r="R9" t="str">
        <f t="shared" si="2"/>
        <v>MAJOR</v>
      </c>
    </row>
    <row r="10" spans="1:23" x14ac:dyDescent="0.25">
      <c r="A10">
        <v>9</v>
      </c>
      <c r="B10" t="s">
        <v>152</v>
      </c>
      <c r="C10" t="s">
        <v>210</v>
      </c>
      <c r="D10" t="s">
        <v>210</v>
      </c>
      <c r="E10" t="b">
        <f t="shared" si="0"/>
        <v>1</v>
      </c>
      <c r="F10" t="e">
        <f>#REF!=D10</f>
        <v>#REF!</v>
      </c>
      <c r="G10" t="str">
        <f t="shared" si="1"/>
        <v>9&amp;LOCAL&amp;LOCAL\\\hline</v>
      </c>
      <c r="L10" t="s">
        <v>152</v>
      </c>
      <c r="M10" t="b">
        <v>1</v>
      </c>
      <c r="N10">
        <v>1</v>
      </c>
      <c r="O10" t="b">
        <v>0</v>
      </c>
      <c r="P10" t="b">
        <v>1</v>
      </c>
      <c r="Q10">
        <v>9.25</v>
      </c>
      <c r="R10" t="str">
        <f t="shared" si="2"/>
        <v>LOCAL</v>
      </c>
    </row>
    <row r="11" spans="1:23" x14ac:dyDescent="0.25">
      <c r="A11">
        <v>10</v>
      </c>
      <c r="B11" t="s">
        <v>153</v>
      </c>
      <c r="C11" t="s">
        <v>210</v>
      </c>
      <c r="D11" t="s">
        <v>210</v>
      </c>
      <c r="E11" t="b">
        <f t="shared" si="0"/>
        <v>1</v>
      </c>
      <c r="F11" t="e">
        <f>#REF!=D11</f>
        <v>#REF!</v>
      </c>
      <c r="G11" t="str">
        <f t="shared" si="1"/>
        <v>10&amp;LOCAL&amp;LOCAL\\\hline</v>
      </c>
      <c r="L11" t="s">
        <v>153</v>
      </c>
      <c r="M11" t="b">
        <v>0</v>
      </c>
      <c r="N11">
        <v>1</v>
      </c>
      <c r="O11" t="b">
        <v>0</v>
      </c>
      <c r="P11" t="b">
        <v>1</v>
      </c>
      <c r="Q11">
        <v>5.16</v>
      </c>
      <c r="R11" t="str">
        <f t="shared" si="2"/>
        <v>LOCAL</v>
      </c>
    </row>
    <row r="12" spans="1:23" x14ac:dyDescent="0.25">
      <c r="A12">
        <v>11</v>
      </c>
      <c r="B12" t="s">
        <v>154</v>
      </c>
      <c r="C12" t="s">
        <v>211</v>
      </c>
      <c r="D12" t="s">
        <v>211</v>
      </c>
      <c r="E12" t="b">
        <f t="shared" si="0"/>
        <v>1</v>
      </c>
      <c r="F12" t="e">
        <f>#REF!=D12</f>
        <v>#REF!</v>
      </c>
      <c r="G12" t="str">
        <f t="shared" si="1"/>
        <v>11&amp;MAJOR&amp;MAJOR\\\hline</v>
      </c>
      <c r="L12" t="s">
        <v>154</v>
      </c>
      <c r="M12" t="b">
        <v>0</v>
      </c>
      <c r="N12">
        <v>1</v>
      </c>
      <c r="O12" t="b">
        <v>0</v>
      </c>
      <c r="P12" t="b">
        <v>0</v>
      </c>
      <c r="Q12">
        <v>2.2599999999999998</v>
      </c>
      <c r="R12" t="str">
        <f t="shared" si="2"/>
        <v>MAJOR</v>
      </c>
    </row>
    <row r="13" spans="1:23" x14ac:dyDescent="0.25">
      <c r="A13">
        <v>12</v>
      </c>
      <c r="B13" t="s">
        <v>155</v>
      </c>
      <c r="C13" t="s">
        <v>211</v>
      </c>
      <c r="D13" t="s">
        <v>211</v>
      </c>
      <c r="E13" t="b">
        <f t="shared" si="0"/>
        <v>1</v>
      </c>
      <c r="F13" t="e">
        <f>#REF!=D13</f>
        <v>#REF!</v>
      </c>
      <c r="G13" t="str">
        <f t="shared" si="1"/>
        <v>12&amp;MAJOR&amp;MAJOR\\\hline</v>
      </c>
      <c r="L13" t="s">
        <v>155</v>
      </c>
      <c r="M13" t="b">
        <v>0</v>
      </c>
      <c r="N13">
        <v>0</v>
      </c>
      <c r="O13" t="b">
        <v>1</v>
      </c>
      <c r="P13" t="b">
        <v>0</v>
      </c>
      <c r="Q13">
        <v>2.2599999999999998</v>
      </c>
      <c r="R13" t="str">
        <f t="shared" si="2"/>
        <v>MAJOR</v>
      </c>
    </row>
    <row r="14" spans="1:23" x14ac:dyDescent="0.25">
      <c r="A14">
        <v>13</v>
      </c>
      <c r="B14" t="s">
        <v>156</v>
      </c>
      <c r="C14" t="s">
        <v>210</v>
      </c>
      <c r="D14" t="s">
        <v>210</v>
      </c>
      <c r="E14" t="b">
        <f t="shared" si="0"/>
        <v>1</v>
      </c>
      <c r="F14" t="e">
        <f>#REF!=D14</f>
        <v>#REF!</v>
      </c>
      <c r="G14" t="str">
        <f t="shared" si="1"/>
        <v>13&amp;LOCAL&amp;LOCAL\\\hline</v>
      </c>
      <c r="L14" t="s">
        <v>156</v>
      </c>
      <c r="M14" t="b">
        <v>0</v>
      </c>
      <c r="N14">
        <v>2</v>
      </c>
      <c r="O14" t="b">
        <v>0</v>
      </c>
      <c r="P14" t="b">
        <v>1</v>
      </c>
      <c r="Q14">
        <v>2.9</v>
      </c>
      <c r="R14" t="str">
        <f t="shared" si="2"/>
        <v>LOCAL</v>
      </c>
    </row>
    <row r="15" spans="1:23" x14ac:dyDescent="0.25">
      <c r="A15">
        <v>14</v>
      </c>
      <c r="B15" t="s">
        <v>157</v>
      </c>
      <c r="C15" t="s">
        <v>210</v>
      </c>
      <c r="D15" t="s">
        <v>211</v>
      </c>
      <c r="E15" t="b">
        <f t="shared" si="0"/>
        <v>0</v>
      </c>
      <c r="F15" t="e">
        <f>#REF!=D15</f>
        <v>#REF!</v>
      </c>
      <c r="G15" t="str">
        <f t="shared" si="1"/>
        <v>14&amp;MAJOR&amp;LOCAL\\\hline</v>
      </c>
      <c r="L15" t="s">
        <v>157</v>
      </c>
      <c r="M15" t="b">
        <v>0</v>
      </c>
      <c r="N15">
        <v>0</v>
      </c>
      <c r="O15" t="b">
        <v>0</v>
      </c>
      <c r="P15" t="b">
        <v>1</v>
      </c>
      <c r="Q15">
        <v>5.91</v>
      </c>
      <c r="R15" t="str">
        <f t="shared" si="2"/>
        <v>LOCAL</v>
      </c>
    </row>
    <row r="16" spans="1:23" x14ac:dyDescent="0.25">
      <c r="A16">
        <v>15</v>
      </c>
      <c r="B16" t="s">
        <v>158</v>
      </c>
      <c r="C16" t="s">
        <v>210</v>
      </c>
      <c r="D16" t="s">
        <v>210</v>
      </c>
      <c r="E16" t="b">
        <f t="shared" si="0"/>
        <v>1</v>
      </c>
      <c r="F16" t="e">
        <f>#REF!=D16</f>
        <v>#REF!</v>
      </c>
      <c r="G16" t="str">
        <f t="shared" si="1"/>
        <v>15&amp;LOCAL&amp;LOCAL\\\hline</v>
      </c>
      <c r="L16" t="s">
        <v>158</v>
      </c>
      <c r="M16" t="b">
        <v>0</v>
      </c>
      <c r="N16">
        <v>2</v>
      </c>
      <c r="O16" t="b">
        <v>0</v>
      </c>
      <c r="P16" t="b">
        <v>1</v>
      </c>
      <c r="Q16">
        <v>2.9</v>
      </c>
      <c r="R16" t="str">
        <f t="shared" si="2"/>
        <v>LOCAL</v>
      </c>
    </row>
    <row r="17" spans="1:18" x14ac:dyDescent="0.25">
      <c r="A17">
        <v>16</v>
      </c>
      <c r="B17" t="s">
        <v>159</v>
      </c>
      <c r="C17" t="s">
        <v>211</v>
      </c>
      <c r="D17" t="s">
        <v>211</v>
      </c>
      <c r="E17" t="b">
        <f t="shared" si="0"/>
        <v>1</v>
      </c>
      <c r="F17" t="e">
        <f>#REF!=D17</f>
        <v>#REF!</v>
      </c>
      <c r="G17" t="str">
        <f t="shared" si="1"/>
        <v>16&amp;MAJOR&amp;MAJOR\\\hline</v>
      </c>
      <c r="L17" t="s">
        <v>159</v>
      </c>
      <c r="M17" t="b">
        <v>1</v>
      </c>
      <c r="N17">
        <v>0</v>
      </c>
      <c r="O17" t="b">
        <v>0</v>
      </c>
      <c r="P17" t="b">
        <v>0</v>
      </c>
      <c r="Q17">
        <v>7.1</v>
      </c>
      <c r="R17" t="str">
        <f t="shared" si="2"/>
        <v>MAJOR</v>
      </c>
    </row>
    <row r="18" spans="1:18" x14ac:dyDescent="0.25">
      <c r="A18">
        <v>17</v>
      </c>
      <c r="B18" t="s">
        <v>160</v>
      </c>
      <c r="C18" t="s">
        <v>210</v>
      </c>
      <c r="D18" t="s">
        <v>210</v>
      </c>
      <c r="E18" t="b">
        <f t="shared" si="0"/>
        <v>1</v>
      </c>
      <c r="F18" t="e">
        <f>#REF!=D18</f>
        <v>#REF!</v>
      </c>
      <c r="G18" t="str">
        <f t="shared" si="1"/>
        <v>17&amp;LOCAL&amp;LOCAL\\\hline</v>
      </c>
      <c r="L18" t="s">
        <v>160</v>
      </c>
      <c r="M18" t="b">
        <v>0</v>
      </c>
      <c r="N18">
        <v>0</v>
      </c>
      <c r="O18" t="b">
        <v>1</v>
      </c>
      <c r="P18" t="b">
        <v>1</v>
      </c>
      <c r="Q18">
        <v>5.16</v>
      </c>
      <c r="R18" t="str">
        <f t="shared" si="2"/>
        <v>LOCAL</v>
      </c>
    </row>
    <row r="19" spans="1:18" x14ac:dyDescent="0.25">
      <c r="A19">
        <v>18</v>
      </c>
      <c r="B19" t="s">
        <v>161</v>
      </c>
      <c r="C19" t="s">
        <v>211</v>
      </c>
      <c r="D19" t="s">
        <v>211</v>
      </c>
      <c r="E19" t="b">
        <f t="shared" si="0"/>
        <v>1</v>
      </c>
      <c r="F19" t="e">
        <f>#REF!=D19</f>
        <v>#REF!</v>
      </c>
      <c r="G19" t="str">
        <f t="shared" si="1"/>
        <v>18&amp;MAJOR&amp;MAJOR\\\hline</v>
      </c>
      <c r="L19" t="s">
        <v>161</v>
      </c>
      <c r="M19" t="b">
        <v>1</v>
      </c>
      <c r="N19">
        <v>0</v>
      </c>
      <c r="O19" t="b">
        <v>0</v>
      </c>
      <c r="P19" t="b">
        <v>0</v>
      </c>
      <c r="Q19">
        <v>7.1</v>
      </c>
      <c r="R19" t="str">
        <f t="shared" si="2"/>
        <v>MAJOR</v>
      </c>
    </row>
    <row r="20" spans="1:18" x14ac:dyDescent="0.25">
      <c r="A20">
        <v>19</v>
      </c>
      <c r="B20" t="s">
        <v>162</v>
      </c>
      <c r="C20" t="s">
        <v>210</v>
      </c>
      <c r="D20" t="s">
        <v>210</v>
      </c>
      <c r="E20" t="b">
        <f t="shared" si="0"/>
        <v>1</v>
      </c>
      <c r="F20" t="e">
        <f>#REF!=D20</f>
        <v>#REF!</v>
      </c>
      <c r="G20" t="str">
        <f t="shared" si="1"/>
        <v>19&amp;LOCAL&amp;LOCAL\\\hline</v>
      </c>
      <c r="L20" t="s">
        <v>162</v>
      </c>
      <c r="M20" t="b">
        <v>1</v>
      </c>
      <c r="N20">
        <v>1</v>
      </c>
      <c r="O20" t="b">
        <v>0</v>
      </c>
      <c r="P20" t="b">
        <v>1</v>
      </c>
      <c r="Q20">
        <v>9.25</v>
      </c>
      <c r="R20" t="str">
        <f t="shared" si="2"/>
        <v>LOCAL</v>
      </c>
    </row>
    <row r="21" spans="1:18" x14ac:dyDescent="0.25">
      <c r="A21">
        <v>20</v>
      </c>
      <c r="B21" t="s">
        <v>163</v>
      </c>
      <c r="C21" t="s">
        <v>211</v>
      </c>
      <c r="D21" t="s">
        <v>211</v>
      </c>
      <c r="E21" t="b">
        <f t="shared" si="0"/>
        <v>1</v>
      </c>
      <c r="F21" t="e">
        <f>#REF!=D21</f>
        <v>#REF!</v>
      </c>
      <c r="G21" t="str">
        <f t="shared" si="1"/>
        <v>20&amp;MAJOR&amp;MAJOR\\\hline</v>
      </c>
      <c r="L21" t="s">
        <v>163</v>
      </c>
      <c r="M21" t="b">
        <v>0</v>
      </c>
      <c r="N21">
        <v>0</v>
      </c>
      <c r="O21" t="b">
        <v>0</v>
      </c>
      <c r="P21" t="b">
        <v>0</v>
      </c>
      <c r="Q21">
        <v>3.01</v>
      </c>
      <c r="R21" t="str">
        <f t="shared" si="2"/>
        <v>MAJOR</v>
      </c>
    </row>
    <row r="22" spans="1:18" x14ac:dyDescent="0.25">
      <c r="A22">
        <v>21</v>
      </c>
      <c r="B22" t="s">
        <v>164</v>
      </c>
      <c r="C22" t="s">
        <v>211</v>
      </c>
      <c r="D22" t="s">
        <v>210</v>
      </c>
      <c r="E22" t="b">
        <f t="shared" si="0"/>
        <v>0</v>
      </c>
      <c r="F22" t="e">
        <f>#REF!=D22</f>
        <v>#REF!</v>
      </c>
      <c r="G22" t="str">
        <f t="shared" si="1"/>
        <v>21&amp;LOCAL&amp;MAJOR\\\hline</v>
      </c>
      <c r="L22" t="s">
        <v>164</v>
      </c>
      <c r="M22" t="b">
        <v>1</v>
      </c>
      <c r="N22">
        <v>0</v>
      </c>
      <c r="O22" t="b">
        <v>0</v>
      </c>
      <c r="P22" t="b">
        <v>0</v>
      </c>
      <c r="Q22">
        <v>7.1</v>
      </c>
      <c r="R22" t="str">
        <f t="shared" si="2"/>
        <v>MAJOR</v>
      </c>
    </row>
    <row r="23" spans="1:18" x14ac:dyDescent="0.25">
      <c r="A23">
        <v>22</v>
      </c>
      <c r="B23" t="s">
        <v>165</v>
      </c>
      <c r="C23" t="s">
        <v>210</v>
      </c>
      <c r="D23" t="s">
        <v>211</v>
      </c>
      <c r="E23" t="b">
        <f t="shared" si="0"/>
        <v>0</v>
      </c>
      <c r="F23" t="e">
        <f>#REF!=D23</f>
        <v>#REF!</v>
      </c>
      <c r="G23" t="str">
        <f t="shared" si="1"/>
        <v>22&amp;MAJOR&amp;LOCAL\\\hline</v>
      </c>
      <c r="L23" t="s">
        <v>165</v>
      </c>
      <c r="M23" t="b">
        <v>1</v>
      </c>
      <c r="N23">
        <v>0</v>
      </c>
      <c r="O23" t="b">
        <v>0</v>
      </c>
      <c r="P23" t="b">
        <v>1</v>
      </c>
      <c r="Q23">
        <v>10</v>
      </c>
      <c r="R23" t="str">
        <f t="shared" si="2"/>
        <v>LOCAL</v>
      </c>
    </row>
    <row r="24" spans="1:18" x14ac:dyDescent="0.25">
      <c r="A24">
        <v>23</v>
      </c>
      <c r="B24" t="s">
        <v>166</v>
      </c>
      <c r="C24" t="s">
        <v>210</v>
      </c>
      <c r="D24" t="s">
        <v>210</v>
      </c>
      <c r="E24" t="b">
        <f t="shared" si="0"/>
        <v>1</v>
      </c>
      <c r="F24" t="e">
        <f>#REF!=D24</f>
        <v>#REF!</v>
      </c>
      <c r="G24" t="str">
        <f t="shared" si="1"/>
        <v>23&amp;LOCAL&amp;LOCAL\\\hline</v>
      </c>
      <c r="L24" t="s">
        <v>166</v>
      </c>
      <c r="M24" t="b">
        <v>0</v>
      </c>
      <c r="N24">
        <v>1</v>
      </c>
      <c r="O24" t="b">
        <v>0</v>
      </c>
      <c r="P24" t="b">
        <v>1</v>
      </c>
      <c r="Q24">
        <v>5.16</v>
      </c>
      <c r="R24" t="str">
        <f t="shared" si="2"/>
        <v>LOCAL</v>
      </c>
    </row>
    <row r="25" spans="1:18" x14ac:dyDescent="0.25">
      <c r="A25">
        <v>24</v>
      </c>
      <c r="B25" t="s">
        <v>167</v>
      </c>
      <c r="C25" t="s">
        <v>210</v>
      </c>
      <c r="D25" t="s">
        <v>210</v>
      </c>
      <c r="E25" t="b">
        <f t="shared" si="0"/>
        <v>1</v>
      </c>
      <c r="F25" t="e">
        <f>#REF!=D25</f>
        <v>#REF!</v>
      </c>
      <c r="G25" t="str">
        <f t="shared" si="1"/>
        <v>24&amp;LOCAL&amp;LOCAL\\\hline</v>
      </c>
      <c r="L25" t="s">
        <v>167</v>
      </c>
      <c r="M25" t="b">
        <v>0</v>
      </c>
      <c r="N25">
        <v>1</v>
      </c>
      <c r="O25" t="b">
        <v>0</v>
      </c>
      <c r="P25" t="b">
        <v>1</v>
      </c>
      <c r="Q25">
        <v>5.16</v>
      </c>
      <c r="R25" t="str">
        <f t="shared" si="2"/>
        <v>LOCAL</v>
      </c>
    </row>
    <row r="26" spans="1:18" x14ac:dyDescent="0.25">
      <c r="A26">
        <v>25</v>
      </c>
      <c r="B26" t="s">
        <v>168</v>
      </c>
      <c r="C26" t="s">
        <v>211</v>
      </c>
      <c r="D26" t="s">
        <v>211</v>
      </c>
      <c r="E26" t="b">
        <f t="shared" si="0"/>
        <v>1</v>
      </c>
      <c r="F26" t="e">
        <f>#REF!=D26</f>
        <v>#REF!</v>
      </c>
      <c r="G26" t="str">
        <f t="shared" si="1"/>
        <v>25&amp;MAJOR&amp;MAJOR\\\hline</v>
      </c>
      <c r="L26" t="s">
        <v>168</v>
      </c>
      <c r="M26" t="b">
        <v>1</v>
      </c>
      <c r="N26">
        <v>0</v>
      </c>
      <c r="O26" t="b">
        <v>1</v>
      </c>
      <c r="P26" t="b">
        <v>0</v>
      </c>
      <c r="Q26">
        <v>6.35</v>
      </c>
      <c r="R26" t="str">
        <f t="shared" si="2"/>
        <v>MAJOR</v>
      </c>
    </row>
    <row r="27" spans="1:18" x14ac:dyDescent="0.25">
      <c r="A27">
        <v>26</v>
      </c>
      <c r="B27" t="s">
        <v>169</v>
      </c>
      <c r="C27" t="s">
        <v>211</v>
      </c>
      <c r="D27" t="s">
        <v>211</v>
      </c>
      <c r="E27" t="b">
        <f t="shared" si="0"/>
        <v>1</v>
      </c>
      <c r="F27" t="e">
        <f>#REF!=D27</f>
        <v>#REF!</v>
      </c>
      <c r="G27" t="str">
        <f t="shared" si="1"/>
        <v>26&amp;MAJOR&amp;MAJOR\\\hline</v>
      </c>
      <c r="L27" t="s">
        <v>169</v>
      </c>
      <c r="M27" t="b">
        <v>0</v>
      </c>
      <c r="N27">
        <v>0</v>
      </c>
      <c r="O27" t="b">
        <v>1</v>
      </c>
      <c r="P27" t="b">
        <v>0</v>
      </c>
      <c r="Q27">
        <v>2.2599999999999998</v>
      </c>
      <c r="R27" t="str">
        <f t="shared" si="2"/>
        <v>MAJOR</v>
      </c>
    </row>
    <row r="28" spans="1:18" x14ac:dyDescent="0.25">
      <c r="A28">
        <v>27</v>
      </c>
      <c r="B28" t="s">
        <v>170</v>
      </c>
      <c r="C28" t="s">
        <v>211</v>
      </c>
      <c r="D28" t="s">
        <v>210</v>
      </c>
      <c r="E28" t="b">
        <f t="shared" si="0"/>
        <v>0</v>
      </c>
      <c r="F28" t="e">
        <f>#REF!=D28</f>
        <v>#REF!</v>
      </c>
      <c r="G28" t="str">
        <f t="shared" si="1"/>
        <v>27&amp;LOCAL&amp;MAJOR\\\hline</v>
      </c>
      <c r="L28" t="s">
        <v>170</v>
      </c>
      <c r="M28" t="b">
        <v>0</v>
      </c>
      <c r="N28">
        <v>1</v>
      </c>
      <c r="O28" t="b">
        <v>0</v>
      </c>
      <c r="P28" t="b">
        <v>0</v>
      </c>
      <c r="Q28">
        <v>2.2599999999999998</v>
      </c>
      <c r="R28" t="str">
        <f t="shared" si="2"/>
        <v>MAJOR</v>
      </c>
    </row>
    <row r="29" spans="1:18" x14ac:dyDescent="0.25">
      <c r="A29">
        <v>28</v>
      </c>
      <c r="B29" t="s">
        <v>171</v>
      </c>
      <c r="C29" t="s">
        <v>210</v>
      </c>
      <c r="D29" t="s">
        <v>210</v>
      </c>
      <c r="E29" t="b">
        <f t="shared" si="0"/>
        <v>1</v>
      </c>
      <c r="F29" t="e">
        <f>#REF!=D29</f>
        <v>#REF!</v>
      </c>
      <c r="G29" t="str">
        <f t="shared" si="1"/>
        <v>28&amp;LOCAL&amp;LOCAL\\\hline</v>
      </c>
      <c r="L29" t="s">
        <v>171</v>
      </c>
      <c r="M29" t="b">
        <v>0</v>
      </c>
      <c r="N29">
        <v>2</v>
      </c>
      <c r="O29" t="b">
        <v>0</v>
      </c>
      <c r="P29" t="b">
        <v>1</v>
      </c>
      <c r="Q29">
        <v>2.9</v>
      </c>
      <c r="R29" t="str">
        <f t="shared" si="2"/>
        <v>LOCAL</v>
      </c>
    </row>
    <row r="30" spans="1:18" x14ac:dyDescent="0.25">
      <c r="A30">
        <v>29</v>
      </c>
      <c r="B30" t="s">
        <v>172</v>
      </c>
      <c r="C30" t="s">
        <v>210</v>
      </c>
      <c r="D30" t="s">
        <v>210</v>
      </c>
      <c r="E30" t="b">
        <f t="shared" si="0"/>
        <v>1</v>
      </c>
      <c r="F30" t="e">
        <f>#REF!=D30</f>
        <v>#REF!</v>
      </c>
      <c r="G30" t="str">
        <f t="shared" si="1"/>
        <v>29&amp;LOCAL&amp;LOCAL\\\hline</v>
      </c>
      <c r="L30" t="s">
        <v>172</v>
      </c>
      <c r="M30" t="b">
        <v>0</v>
      </c>
      <c r="N30">
        <v>2</v>
      </c>
      <c r="O30" t="b">
        <v>0</v>
      </c>
      <c r="P30" t="b">
        <v>1</v>
      </c>
      <c r="Q30">
        <v>2.9</v>
      </c>
      <c r="R30" t="str">
        <f t="shared" si="2"/>
        <v>LOCAL</v>
      </c>
    </row>
    <row r="31" spans="1:18" x14ac:dyDescent="0.25">
      <c r="A31">
        <v>30</v>
      </c>
      <c r="B31" t="s">
        <v>173</v>
      </c>
      <c r="C31" t="s">
        <v>211</v>
      </c>
      <c r="D31" t="s">
        <v>210</v>
      </c>
      <c r="E31" t="b">
        <f t="shared" si="0"/>
        <v>0</v>
      </c>
      <c r="F31" t="e">
        <f>#REF!=D31</f>
        <v>#REF!</v>
      </c>
      <c r="G31" t="str">
        <f t="shared" si="1"/>
        <v>30&amp;LOCAL&amp;MAJOR\\\hline</v>
      </c>
      <c r="L31" t="s">
        <v>173</v>
      </c>
      <c r="M31" t="b">
        <v>0</v>
      </c>
      <c r="N31">
        <v>2</v>
      </c>
      <c r="O31" t="b">
        <v>0</v>
      </c>
      <c r="P31" t="b">
        <v>0</v>
      </c>
      <c r="Q31">
        <v>0</v>
      </c>
      <c r="R31" t="str">
        <f t="shared" si="2"/>
        <v>MAJOR</v>
      </c>
    </row>
    <row r="32" spans="1:18" x14ac:dyDescent="0.25">
      <c r="A32">
        <v>31</v>
      </c>
      <c r="B32" t="s">
        <v>174</v>
      </c>
      <c r="C32" t="s">
        <v>210</v>
      </c>
      <c r="D32" t="s">
        <v>210</v>
      </c>
      <c r="E32" t="b">
        <f t="shared" si="0"/>
        <v>1</v>
      </c>
      <c r="F32" t="e">
        <f>#REF!=D32</f>
        <v>#REF!</v>
      </c>
      <c r="G32" t="str">
        <f t="shared" si="1"/>
        <v>31&amp;LOCAL&amp;LOCAL\\\hline</v>
      </c>
      <c r="L32" t="s">
        <v>174</v>
      </c>
      <c r="M32" t="b">
        <v>1</v>
      </c>
      <c r="N32">
        <v>1</v>
      </c>
      <c r="O32" t="b">
        <v>0</v>
      </c>
      <c r="P32" t="b">
        <v>1</v>
      </c>
      <c r="Q32">
        <v>9.25</v>
      </c>
      <c r="R32" t="str">
        <f t="shared" si="2"/>
        <v>LOCAL</v>
      </c>
    </row>
    <row r="33" spans="1:18" x14ac:dyDescent="0.25">
      <c r="A33">
        <v>32</v>
      </c>
      <c r="B33" t="s">
        <v>175</v>
      </c>
      <c r="C33" t="s">
        <v>210</v>
      </c>
      <c r="D33" t="s">
        <v>210</v>
      </c>
      <c r="E33" t="b">
        <f t="shared" si="0"/>
        <v>1</v>
      </c>
      <c r="F33" t="e">
        <f>#REF!=D33</f>
        <v>#REF!</v>
      </c>
      <c r="G33" t="str">
        <f t="shared" si="1"/>
        <v>32&amp;LOCAL&amp;LOCAL\\\hline</v>
      </c>
      <c r="L33" t="s">
        <v>175</v>
      </c>
      <c r="M33" t="b">
        <v>1</v>
      </c>
      <c r="N33">
        <v>0</v>
      </c>
      <c r="O33" t="b">
        <v>0</v>
      </c>
      <c r="P33" t="b">
        <v>1</v>
      </c>
      <c r="Q33">
        <v>10</v>
      </c>
      <c r="R33" t="str">
        <f t="shared" si="2"/>
        <v>LOCAL</v>
      </c>
    </row>
    <row r="34" spans="1:18" x14ac:dyDescent="0.25">
      <c r="A34">
        <v>33</v>
      </c>
      <c r="B34" t="s">
        <v>176</v>
      </c>
      <c r="C34" t="s">
        <v>210</v>
      </c>
      <c r="D34" t="s">
        <v>210</v>
      </c>
      <c r="E34" t="b">
        <f t="shared" si="0"/>
        <v>1</v>
      </c>
      <c r="F34" t="e">
        <f>#REF!=D34</f>
        <v>#REF!</v>
      </c>
      <c r="G34" t="str">
        <f t="shared" si="1"/>
        <v>33&amp;LOCAL&amp;LOCAL\\\hline</v>
      </c>
      <c r="L34" t="s">
        <v>176</v>
      </c>
      <c r="M34" t="b">
        <v>0</v>
      </c>
      <c r="N34">
        <v>1</v>
      </c>
      <c r="O34" t="b">
        <v>0</v>
      </c>
      <c r="P34" t="b">
        <v>1</v>
      </c>
      <c r="Q34">
        <v>5.16</v>
      </c>
      <c r="R34" t="str">
        <f t="shared" si="2"/>
        <v>LOCAL</v>
      </c>
    </row>
    <row r="35" spans="1:18" x14ac:dyDescent="0.25">
      <c r="A35">
        <v>34</v>
      </c>
      <c r="B35" t="s">
        <v>177</v>
      </c>
      <c r="C35" t="s">
        <v>210</v>
      </c>
      <c r="D35" t="s">
        <v>210</v>
      </c>
      <c r="E35" t="b">
        <f t="shared" si="0"/>
        <v>1</v>
      </c>
      <c r="F35" t="e">
        <f>#REF!=D35</f>
        <v>#REF!</v>
      </c>
      <c r="G35" t="str">
        <f t="shared" si="1"/>
        <v>34&amp;LOCAL&amp;LOCAL\\\hline</v>
      </c>
      <c r="L35" t="s">
        <v>177</v>
      </c>
      <c r="M35" t="b">
        <v>0</v>
      </c>
      <c r="N35">
        <v>0</v>
      </c>
      <c r="O35" t="b">
        <v>1</v>
      </c>
      <c r="P35" t="b">
        <v>1</v>
      </c>
      <c r="Q35">
        <v>5.16</v>
      </c>
      <c r="R35" t="str">
        <f t="shared" si="2"/>
        <v>LOCAL</v>
      </c>
    </row>
    <row r="36" spans="1:18" x14ac:dyDescent="0.25">
      <c r="A36">
        <v>35</v>
      </c>
      <c r="B36" t="s">
        <v>178</v>
      </c>
      <c r="C36" t="s">
        <v>210</v>
      </c>
      <c r="D36" t="s">
        <v>210</v>
      </c>
      <c r="E36" t="b">
        <f t="shared" si="0"/>
        <v>1</v>
      </c>
      <c r="F36" t="e">
        <f>#REF!=D36</f>
        <v>#REF!</v>
      </c>
      <c r="G36" t="str">
        <f t="shared" si="1"/>
        <v>35&amp;LOCAL&amp;LOCAL\\\hline</v>
      </c>
      <c r="L36" t="s">
        <v>178</v>
      </c>
      <c r="M36" t="b">
        <v>0</v>
      </c>
      <c r="N36">
        <v>1</v>
      </c>
      <c r="O36" t="b">
        <v>0</v>
      </c>
      <c r="P36" t="b">
        <v>1</v>
      </c>
      <c r="Q36">
        <v>5.16</v>
      </c>
      <c r="R36" t="str">
        <f t="shared" si="2"/>
        <v>LOCAL</v>
      </c>
    </row>
    <row r="37" spans="1:18" x14ac:dyDescent="0.25">
      <c r="A37">
        <v>36</v>
      </c>
      <c r="B37" t="s">
        <v>179</v>
      </c>
      <c r="C37" t="s">
        <v>210</v>
      </c>
      <c r="D37" t="s">
        <v>210</v>
      </c>
      <c r="E37" t="b">
        <f t="shared" si="0"/>
        <v>1</v>
      </c>
      <c r="F37" t="e">
        <f>#REF!=D37</f>
        <v>#REF!</v>
      </c>
      <c r="G37" t="str">
        <f t="shared" si="1"/>
        <v>36&amp;LOCAL&amp;LOCAL\\\hline</v>
      </c>
      <c r="L37" t="s">
        <v>179</v>
      </c>
      <c r="M37" t="b">
        <v>0</v>
      </c>
      <c r="N37">
        <v>0</v>
      </c>
      <c r="O37" t="b">
        <v>1</v>
      </c>
      <c r="P37" t="b">
        <v>1</v>
      </c>
      <c r="Q37">
        <v>5.16</v>
      </c>
      <c r="R37" t="str">
        <f t="shared" si="2"/>
        <v>LOCAL</v>
      </c>
    </row>
    <row r="38" spans="1:18" x14ac:dyDescent="0.25">
      <c r="A38">
        <v>37</v>
      </c>
      <c r="B38" t="s">
        <v>180</v>
      </c>
      <c r="C38" t="s">
        <v>211</v>
      </c>
      <c r="D38" t="s">
        <v>210</v>
      </c>
      <c r="E38" t="b">
        <f t="shared" si="0"/>
        <v>0</v>
      </c>
      <c r="F38" t="e">
        <f>#REF!=D38</f>
        <v>#REF!</v>
      </c>
      <c r="G38" t="str">
        <f t="shared" si="1"/>
        <v>37&amp;LOCAL&amp;MAJOR\\\hline</v>
      </c>
      <c r="L38" t="s">
        <v>180</v>
      </c>
      <c r="M38" t="b">
        <v>0</v>
      </c>
      <c r="N38">
        <v>1</v>
      </c>
      <c r="O38" t="b">
        <v>0</v>
      </c>
      <c r="P38" t="b">
        <v>0</v>
      </c>
      <c r="Q38">
        <v>2.2599999999999998</v>
      </c>
      <c r="R38" t="str">
        <f t="shared" si="2"/>
        <v>MAJOR</v>
      </c>
    </row>
    <row r="39" spans="1:18" x14ac:dyDescent="0.25">
      <c r="A39">
        <v>38</v>
      </c>
      <c r="B39" t="s">
        <v>181</v>
      </c>
      <c r="C39" t="s">
        <v>211</v>
      </c>
      <c r="D39" t="s">
        <v>210</v>
      </c>
      <c r="E39" t="b">
        <f t="shared" si="0"/>
        <v>0</v>
      </c>
      <c r="F39" t="e">
        <f>#REF!=D39</f>
        <v>#REF!</v>
      </c>
      <c r="G39" t="str">
        <f t="shared" si="1"/>
        <v>38&amp;LOCAL&amp;MAJOR\\\hline</v>
      </c>
      <c r="L39" t="s">
        <v>181</v>
      </c>
      <c r="M39" t="b">
        <v>0</v>
      </c>
      <c r="N39">
        <v>0</v>
      </c>
      <c r="O39" t="b">
        <v>0</v>
      </c>
      <c r="P39" t="b">
        <v>0</v>
      </c>
      <c r="Q39">
        <v>3.01</v>
      </c>
      <c r="R39" t="str">
        <f t="shared" si="2"/>
        <v>MAJOR</v>
      </c>
    </row>
    <row r="40" spans="1:18" x14ac:dyDescent="0.25">
      <c r="A40">
        <v>39</v>
      </c>
      <c r="B40" t="s">
        <v>182</v>
      </c>
      <c r="C40" t="s">
        <v>211</v>
      </c>
      <c r="D40" t="s">
        <v>210</v>
      </c>
      <c r="E40" t="b">
        <f t="shared" si="0"/>
        <v>0</v>
      </c>
      <c r="F40" t="e">
        <f>#REF!=D40</f>
        <v>#REF!</v>
      </c>
      <c r="G40" t="str">
        <f t="shared" si="1"/>
        <v>39&amp;LOCAL&amp;MAJOR\\\hline</v>
      </c>
      <c r="L40" t="s">
        <v>182</v>
      </c>
      <c r="M40" t="b">
        <v>0</v>
      </c>
      <c r="N40">
        <v>1</v>
      </c>
      <c r="O40" t="b">
        <v>0</v>
      </c>
      <c r="P40" t="b">
        <v>0</v>
      </c>
      <c r="Q40">
        <v>2.2599999999999998</v>
      </c>
      <c r="R40" t="str">
        <f t="shared" si="2"/>
        <v>MAJOR</v>
      </c>
    </row>
    <row r="41" spans="1:18" x14ac:dyDescent="0.25">
      <c r="A41">
        <v>40</v>
      </c>
      <c r="B41" t="s">
        <v>183</v>
      </c>
      <c r="C41" t="s">
        <v>211</v>
      </c>
      <c r="D41" t="s">
        <v>211</v>
      </c>
      <c r="E41" t="b">
        <f t="shared" si="0"/>
        <v>1</v>
      </c>
      <c r="F41" t="e">
        <f>#REF!=D41</f>
        <v>#REF!</v>
      </c>
      <c r="G41" t="str">
        <f t="shared" si="1"/>
        <v>40&amp;MAJOR&amp;MAJOR\\\hline</v>
      </c>
      <c r="L41" t="s">
        <v>183</v>
      </c>
      <c r="M41" t="b">
        <v>1</v>
      </c>
      <c r="N41">
        <v>0</v>
      </c>
      <c r="O41" t="b">
        <v>1</v>
      </c>
      <c r="P41" t="b">
        <v>0</v>
      </c>
      <c r="Q41">
        <v>6.35</v>
      </c>
      <c r="R41" t="str">
        <f t="shared" si="2"/>
        <v>MAJOR</v>
      </c>
    </row>
    <row r="42" spans="1:18" x14ac:dyDescent="0.25">
      <c r="A42">
        <v>41</v>
      </c>
      <c r="B42" t="s">
        <v>184</v>
      </c>
      <c r="C42" t="s">
        <v>211</v>
      </c>
      <c r="D42" t="s">
        <v>210</v>
      </c>
      <c r="E42" t="b">
        <f t="shared" si="0"/>
        <v>0</v>
      </c>
      <c r="F42" t="e">
        <f>#REF!=D42</f>
        <v>#REF!</v>
      </c>
      <c r="G42" t="str">
        <f t="shared" si="1"/>
        <v>41&amp;LOCAL&amp;MAJOR\\\hline</v>
      </c>
      <c r="L42" t="s">
        <v>184</v>
      </c>
      <c r="M42" t="b">
        <v>0</v>
      </c>
      <c r="N42">
        <v>1</v>
      </c>
      <c r="O42" t="b">
        <v>0</v>
      </c>
      <c r="P42" t="b">
        <v>0</v>
      </c>
      <c r="Q42">
        <v>2.2599999999999998</v>
      </c>
      <c r="R42" t="str">
        <f t="shared" si="2"/>
        <v>MAJOR</v>
      </c>
    </row>
    <row r="43" spans="1:18" x14ac:dyDescent="0.25">
      <c r="A43">
        <v>42</v>
      </c>
      <c r="B43" t="s">
        <v>185</v>
      </c>
      <c r="C43" t="s">
        <v>210</v>
      </c>
      <c r="D43" t="s">
        <v>210</v>
      </c>
      <c r="E43" t="b">
        <f t="shared" si="0"/>
        <v>1</v>
      </c>
      <c r="F43" t="e">
        <f>#REF!=D43</f>
        <v>#REF!</v>
      </c>
      <c r="G43" t="str">
        <f t="shared" si="1"/>
        <v>42&amp;LOCAL&amp;LOCAL\\\hline</v>
      </c>
      <c r="L43" t="s">
        <v>185</v>
      </c>
      <c r="M43" t="b">
        <v>1</v>
      </c>
      <c r="N43">
        <v>0</v>
      </c>
      <c r="O43" t="b">
        <v>1</v>
      </c>
      <c r="P43" t="b">
        <v>1</v>
      </c>
      <c r="Q43">
        <v>9.25</v>
      </c>
      <c r="R43" t="str">
        <f t="shared" si="2"/>
        <v>LOCAL</v>
      </c>
    </row>
    <row r="44" spans="1:18" x14ac:dyDescent="0.25">
      <c r="A44">
        <v>43</v>
      </c>
      <c r="B44" t="s">
        <v>186</v>
      </c>
      <c r="C44" t="s">
        <v>210</v>
      </c>
      <c r="D44" t="s">
        <v>210</v>
      </c>
      <c r="E44" t="b">
        <f t="shared" si="0"/>
        <v>1</v>
      </c>
      <c r="F44" t="e">
        <f>#REF!=D44</f>
        <v>#REF!</v>
      </c>
      <c r="G44" t="str">
        <f t="shared" si="1"/>
        <v>43&amp;LOCAL&amp;LOCAL\\\hline</v>
      </c>
      <c r="L44" t="s">
        <v>186</v>
      </c>
      <c r="M44" t="b">
        <v>1</v>
      </c>
      <c r="N44">
        <v>1</v>
      </c>
      <c r="O44" t="b">
        <v>0</v>
      </c>
      <c r="P44" t="b">
        <v>1</v>
      </c>
      <c r="Q44">
        <v>9.25</v>
      </c>
      <c r="R44" t="str">
        <f t="shared" si="2"/>
        <v>LOCAL</v>
      </c>
    </row>
    <row r="45" spans="1:18" x14ac:dyDescent="0.25">
      <c r="A45">
        <v>44</v>
      </c>
      <c r="B45" t="s">
        <v>187</v>
      </c>
      <c r="C45" t="s">
        <v>211</v>
      </c>
      <c r="D45" t="s">
        <v>211</v>
      </c>
      <c r="E45" t="b">
        <f t="shared" si="0"/>
        <v>1</v>
      </c>
      <c r="F45" t="e">
        <f>#REF!=D45</f>
        <v>#REF!</v>
      </c>
      <c r="G45" t="str">
        <f t="shared" si="1"/>
        <v>44&amp;MAJOR&amp;MAJOR\\\hline</v>
      </c>
      <c r="L45" t="s">
        <v>187</v>
      </c>
      <c r="M45" t="b">
        <v>1</v>
      </c>
      <c r="N45">
        <v>0</v>
      </c>
      <c r="O45" t="b">
        <v>1</v>
      </c>
      <c r="P45" t="b">
        <v>0</v>
      </c>
      <c r="Q45">
        <v>6.35</v>
      </c>
      <c r="R45" t="str">
        <f t="shared" si="2"/>
        <v>MAJOR</v>
      </c>
    </row>
    <row r="46" spans="1:18" x14ac:dyDescent="0.25">
      <c r="A46">
        <v>45</v>
      </c>
      <c r="B46" t="s">
        <v>188</v>
      </c>
      <c r="C46" t="s">
        <v>211</v>
      </c>
      <c r="D46" t="s">
        <v>211</v>
      </c>
      <c r="E46" t="b">
        <f t="shared" si="0"/>
        <v>1</v>
      </c>
      <c r="F46" t="e">
        <f>#REF!=D46</f>
        <v>#REF!</v>
      </c>
      <c r="G46" t="str">
        <f t="shared" si="1"/>
        <v>45&amp;MAJOR&amp;MAJOR\\\hline</v>
      </c>
      <c r="L46" t="s">
        <v>188</v>
      </c>
      <c r="M46" t="b">
        <v>1</v>
      </c>
      <c r="N46">
        <v>0</v>
      </c>
      <c r="O46" t="b">
        <v>1</v>
      </c>
      <c r="P46" t="b">
        <v>0</v>
      </c>
      <c r="Q46">
        <v>6.35</v>
      </c>
      <c r="R46" t="str">
        <f t="shared" si="2"/>
        <v>MAJOR</v>
      </c>
    </row>
    <row r="47" spans="1:18" x14ac:dyDescent="0.25">
      <c r="A47">
        <v>46</v>
      </c>
      <c r="B47" t="s">
        <v>189</v>
      </c>
      <c r="C47" t="s">
        <v>210</v>
      </c>
      <c r="D47" t="s">
        <v>210</v>
      </c>
      <c r="E47" t="b">
        <f t="shared" si="0"/>
        <v>1</v>
      </c>
      <c r="F47" t="e">
        <f>#REF!=D47</f>
        <v>#REF!</v>
      </c>
      <c r="G47" t="str">
        <f t="shared" si="1"/>
        <v>46&amp;LOCAL&amp;LOCAL\\\hline</v>
      </c>
      <c r="L47" t="s">
        <v>189</v>
      </c>
      <c r="M47" t="b">
        <v>0</v>
      </c>
      <c r="N47">
        <v>2</v>
      </c>
      <c r="O47" t="b">
        <v>0</v>
      </c>
      <c r="P47" t="b">
        <v>1</v>
      </c>
      <c r="Q47">
        <v>2.9</v>
      </c>
      <c r="R47" t="str">
        <f t="shared" si="2"/>
        <v>LOCAL</v>
      </c>
    </row>
    <row r="48" spans="1:18" x14ac:dyDescent="0.25">
      <c r="A48">
        <v>47</v>
      </c>
      <c r="B48" t="s">
        <v>190</v>
      </c>
      <c r="C48" t="s">
        <v>210</v>
      </c>
      <c r="D48" t="s">
        <v>210</v>
      </c>
      <c r="E48" t="b">
        <f t="shared" si="0"/>
        <v>1</v>
      </c>
      <c r="F48" t="e">
        <f>#REF!=D48</f>
        <v>#REF!</v>
      </c>
      <c r="G48" t="str">
        <f t="shared" si="1"/>
        <v>47&amp;LOCAL&amp;LOCAL\\\hline</v>
      </c>
      <c r="L48" t="s">
        <v>190</v>
      </c>
      <c r="M48" t="b">
        <v>0</v>
      </c>
      <c r="N48">
        <v>2</v>
      </c>
      <c r="O48" t="b">
        <v>0</v>
      </c>
      <c r="P48" t="b">
        <v>1</v>
      </c>
      <c r="Q48">
        <v>2.9</v>
      </c>
      <c r="R48" t="str">
        <f t="shared" si="2"/>
        <v>LOCAL</v>
      </c>
    </row>
    <row r="49" spans="1:18" x14ac:dyDescent="0.25">
      <c r="A49">
        <v>48</v>
      </c>
      <c r="B49" t="s">
        <v>191</v>
      </c>
      <c r="C49" t="s">
        <v>210</v>
      </c>
      <c r="D49" t="s">
        <v>210</v>
      </c>
      <c r="E49" t="b">
        <f t="shared" si="0"/>
        <v>1</v>
      </c>
      <c r="F49" t="e">
        <f>#REF!=D49</f>
        <v>#REF!</v>
      </c>
      <c r="G49" t="str">
        <f t="shared" si="1"/>
        <v>48&amp;LOCAL&amp;LOCAL\\\hline</v>
      </c>
      <c r="L49" t="s">
        <v>191</v>
      </c>
      <c r="M49" t="b">
        <v>0</v>
      </c>
      <c r="N49">
        <v>2</v>
      </c>
      <c r="O49" t="b">
        <v>0</v>
      </c>
      <c r="P49" t="b">
        <v>1</v>
      </c>
      <c r="Q49">
        <v>2.9</v>
      </c>
      <c r="R49" t="str">
        <f t="shared" si="2"/>
        <v>LOCAL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BAF6-9766-47B7-9B2C-0EB02778BBC5}">
  <dimension ref="A1:H13"/>
  <sheetViews>
    <sheetView zoomScale="115" zoomScaleNormal="115" workbookViewId="0">
      <selection activeCell="H3" sqref="H3:H11"/>
    </sheetView>
  </sheetViews>
  <sheetFormatPr defaultRowHeight="15" x14ac:dyDescent="0.25"/>
  <cols>
    <col min="1" max="1" width="17.5703125" customWidth="1"/>
    <col min="2" max="2" width="15.85546875" bestFit="1" customWidth="1"/>
    <col min="3" max="3" width="30.5703125" bestFit="1" customWidth="1"/>
    <col min="4" max="4" width="12.7109375" customWidth="1"/>
    <col min="5" max="5" width="10.5703125" customWidth="1"/>
    <col min="6" max="6" width="18.42578125" bestFit="1" customWidth="1"/>
    <col min="7" max="7" width="13.28515625" customWidth="1"/>
    <col min="8" max="8" width="13.7109375" bestFit="1" customWidth="1"/>
  </cols>
  <sheetData>
    <row r="1" spans="1:8" x14ac:dyDescent="0.25">
      <c r="B1" t="s">
        <v>123</v>
      </c>
      <c r="C1" t="s">
        <v>124</v>
      </c>
      <c r="D1" t="s">
        <v>126</v>
      </c>
      <c r="E1" t="s">
        <v>137</v>
      </c>
      <c r="F1" t="s">
        <v>138</v>
      </c>
      <c r="G1" t="s">
        <v>140</v>
      </c>
      <c r="H1" t="s">
        <v>139</v>
      </c>
    </row>
    <row r="3" spans="1:8" x14ac:dyDescent="0.25">
      <c r="B3" t="s">
        <v>119</v>
      </c>
      <c r="C3" t="s">
        <v>128</v>
      </c>
      <c r="D3">
        <v>0.33</v>
      </c>
      <c r="G3">
        <v>1</v>
      </c>
      <c r="H3">
        <f>F4*G3</f>
        <v>3.01</v>
      </c>
    </row>
    <row r="4" spans="1:8" x14ac:dyDescent="0.25">
      <c r="A4" t="s">
        <v>118</v>
      </c>
      <c r="B4" t="s">
        <v>120</v>
      </c>
      <c r="C4" t="s">
        <v>129</v>
      </c>
      <c r="D4">
        <v>0</v>
      </c>
      <c r="E4">
        <v>1.31</v>
      </c>
      <c r="F4">
        <f>ROUND(E4/E13*10,2)</f>
        <v>3.01</v>
      </c>
      <c r="G4">
        <v>0.75</v>
      </c>
      <c r="H4">
        <f>F4*G4</f>
        <v>2.2574999999999998</v>
      </c>
    </row>
    <row r="5" spans="1:8" x14ac:dyDescent="0.25">
      <c r="B5" t="s">
        <v>121</v>
      </c>
      <c r="C5" t="s">
        <v>125</v>
      </c>
      <c r="D5">
        <v>-0.98</v>
      </c>
      <c r="G5">
        <v>0</v>
      </c>
      <c r="H5">
        <f>G5*E4</f>
        <v>0</v>
      </c>
    </row>
    <row r="7" spans="1:8" x14ac:dyDescent="0.25">
      <c r="A7" t="s">
        <v>122</v>
      </c>
      <c r="B7" t="s">
        <v>127</v>
      </c>
      <c r="C7" t="s">
        <v>133</v>
      </c>
      <c r="D7">
        <v>1.78</v>
      </c>
      <c r="E7">
        <v>1.78</v>
      </c>
      <c r="F7">
        <f>ROUND(E7/E13*10,2)</f>
        <v>4.09</v>
      </c>
      <c r="G7">
        <v>1</v>
      </c>
      <c r="H7">
        <f>F7*G7</f>
        <v>4.09</v>
      </c>
    </row>
    <row r="8" spans="1:8" x14ac:dyDescent="0.25">
      <c r="C8" t="s">
        <v>136</v>
      </c>
      <c r="D8">
        <v>0</v>
      </c>
      <c r="G8">
        <v>0</v>
      </c>
      <c r="H8">
        <v>0</v>
      </c>
    </row>
    <row r="10" spans="1:8" x14ac:dyDescent="0.25">
      <c r="A10" t="s">
        <v>130</v>
      </c>
      <c r="B10" t="s">
        <v>131</v>
      </c>
      <c r="C10" t="s">
        <v>132</v>
      </c>
      <c r="D10">
        <v>-1.2649999999999999</v>
      </c>
      <c r="E10">
        <v>1.2649999999999999</v>
      </c>
      <c r="F10">
        <f>ROUND(E10/E13*10,2)</f>
        <v>2.9</v>
      </c>
      <c r="G10">
        <v>0</v>
      </c>
      <c r="H10">
        <v>2.9</v>
      </c>
    </row>
    <row r="11" spans="1:8" x14ac:dyDescent="0.25">
      <c r="B11" t="s">
        <v>135</v>
      </c>
      <c r="C11" t="s">
        <v>134</v>
      </c>
      <c r="D11">
        <v>0</v>
      </c>
      <c r="G11">
        <v>1</v>
      </c>
      <c r="H11">
        <v>0</v>
      </c>
    </row>
    <row r="13" spans="1:8" x14ac:dyDescent="0.25">
      <c r="D13" t="s">
        <v>141</v>
      </c>
      <c r="E13">
        <v>4.3550000000000004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2387-F9A9-4EB3-B502-0AAA3AAB8301}">
  <dimension ref="A1:Q25"/>
  <sheetViews>
    <sheetView topLeftCell="B1" workbookViewId="0">
      <selection activeCell="E38" sqref="E38"/>
    </sheetView>
  </sheetViews>
  <sheetFormatPr defaultRowHeight="15" x14ac:dyDescent="0.25"/>
  <cols>
    <col min="1" max="1" width="21" customWidth="1"/>
    <col min="2" max="2" width="17.7109375" customWidth="1"/>
    <col min="3" max="3" width="16.7109375" bestFit="1" customWidth="1"/>
    <col min="4" max="4" width="9.85546875" bestFit="1" customWidth="1"/>
    <col min="7" max="7" width="11.7109375" customWidth="1"/>
    <col min="9" max="9" width="19.140625" customWidth="1"/>
    <col min="10" max="10" width="12.7109375" customWidth="1"/>
    <col min="12" max="12" width="14" customWidth="1"/>
    <col min="14" max="14" width="21.28515625" customWidth="1"/>
    <col min="15" max="15" width="16.28515625" customWidth="1"/>
    <col min="18" max="18" width="10.140625" customWidth="1"/>
    <col min="19" max="19" width="17.28515625" customWidth="1"/>
    <col min="20" max="20" width="18.5703125" customWidth="1"/>
  </cols>
  <sheetData>
    <row r="1" spans="1:17" x14ac:dyDescent="0.25">
      <c r="A1" t="s">
        <v>3</v>
      </c>
      <c r="B1" t="s">
        <v>113</v>
      </c>
      <c r="C1" t="s">
        <v>114</v>
      </c>
      <c r="D1" t="s">
        <v>115</v>
      </c>
    </row>
    <row r="2" spans="1:17" x14ac:dyDescent="0.25">
      <c r="A2" t="s">
        <v>7</v>
      </c>
      <c r="B2" t="s">
        <v>111</v>
      </c>
      <c r="C2" t="s">
        <v>9</v>
      </c>
      <c r="D2" t="s">
        <v>9</v>
      </c>
      <c r="G2" t="s">
        <v>7</v>
      </c>
      <c r="H2" t="s">
        <v>111</v>
      </c>
      <c r="I2" t="s">
        <v>114</v>
      </c>
      <c r="J2" t="s">
        <v>115</v>
      </c>
      <c r="L2" t="s">
        <v>7</v>
      </c>
      <c r="M2" t="s">
        <v>111</v>
      </c>
      <c r="N2" t="s">
        <v>114</v>
      </c>
      <c r="O2" t="s">
        <v>115</v>
      </c>
      <c r="Q2">
        <v>1</v>
      </c>
    </row>
    <row r="3" spans="1:17" x14ac:dyDescent="0.25">
      <c r="A3" t="s">
        <v>23</v>
      </c>
      <c r="B3" t="s">
        <v>10</v>
      </c>
      <c r="C3" t="s">
        <v>8</v>
      </c>
      <c r="D3" t="s">
        <v>8</v>
      </c>
      <c r="G3" t="s">
        <v>23</v>
      </c>
      <c r="H3" t="s">
        <v>111</v>
      </c>
      <c r="I3" t="s">
        <v>114</v>
      </c>
      <c r="J3" t="s">
        <v>115</v>
      </c>
      <c r="L3" t="s">
        <v>7</v>
      </c>
      <c r="M3" t="s">
        <v>10</v>
      </c>
      <c r="N3" t="s">
        <v>114</v>
      </c>
      <c r="O3" t="s">
        <v>115</v>
      </c>
      <c r="Q3">
        <v>2</v>
      </c>
    </row>
    <row r="4" spans="1:17" x14ac:dyDescent="0.25">
      <c r="A4" t="s">
        <v>13</v>
      </c>
      <c r="G4" t="s">
        <v>13</v>
      </c>
      <c r="H4" t="s">
        <v>111</v>
      </c>
      <c r="I4" t="s">
        <v>114</v>
      </c>
      <c r="J4" t="s">
        <v>115</v>
      </c>
      <c r="L4" t="s">
        <v>7</v>
      </c>
      <c r="M4" t="s">
        <v>111</v>
      </c>
      <c r="N4" t="s">
        <v>116</v>
      </c>
      <c r="O4" t="s">
        <v>115</v>
      </c>
      <c r="Q4">
        <v>3</v>
      </c>
    </row>
    <row r="5" spans="1:17" x14ac:dyDescent="0.25">
      <c r="G5" t="s">
        <v>7</v>
      </c>
      <c r="H5" t="s">
        <v>10</v>
      </c>
      <c r="I5" t="s">
        <v>114</v>
      </c>
      <c r="J5" t="s">
        <v>115</v>
      </c>
      <c r="L5" t="s">
        <v>7</v>
      </c>
      <c r="M5" t="s">
        <v>10</v>
      </c>
      <c r="N5" t="s">
        <v>116</v>
      </c>
      <c r="O5" t="s">
        <v>115</v>
      </c>
      <c r="Q5">
        <v>4</v>
      </c>
    </row>
    <row r="6" spans="1:17" x14ac:dyDescent="0.25">
      <c r="G6" t="s">
        <v>23</v>
      </c>
      <c r="H6" t="s">
        <v>10</v>
      </c>
      <c r="I6" t="s">
        <v>114</v>
      </c>
      <c r="J6" t="s">
        <v>115</v>
      </c>
      <c r="L6" t="s">
        <v>23</v>
      </c>
      <c r="M6" t="s">
        <v>10</v>
      </c>
      <c r="N6" t="s">
        <v>116</v>
      </c>
      <c r="O6" t="s">
        <v>115</v>
      </c>
      <c r="Q6">
        <v>5</v>
      </c>
    </row>
    <row r="7" spans="1:17" x14ac:dyDescent="0.25">
      <c r="G7" t="s">
        <v>13</v>
      </c>
      <c r="H7" t="s">
        <v>10</v>
      </c>
      <c r="I7" t="s">
        <v>114</v>
      </c>
      <c r="J7" t="s">
        <v>115</v>
      </c>
      <c r="L7" t="s">
        <v>7</v>
      </c>
      <c r="M7" t="s">
        <v>111</v>
      </c>
      <c r="N7" t="s">
        <v>114</v>
      </c>
      <c r="O7" t="s">
        <v>117</v>
      </c>
      <c r="Q7">
        <v>6</v>
      </c>
    </row>
    <row r="8" spans="1:17" x14ac:dyDescent="0.25">
      <c r="G8" t="s">
        <v>7</v>
      </c>
      <c r="H8" t="s">
        <v>111</v>
      </c>
      <c r="I8" t="s">
        <v>116</v>
      </c>
      <c r="J8" t="s">
        <v>115</v>
      </c>
      <c r="L8" t="s">
        <v>7</v>
      </c>
      <c r="M8" t="s">
        <v>10</v>
      </c>
      <c r="N8" t="s">
        <v>114</v>
      </c>
      <c r="O8" t="s">
        <v>117</v>
      </c>
      <c r="Q8">
        <v>7</v>
      </c>
    </row>
    <row r="9" spans="1:17" x14ac:dyDescent="0.25">
      <c r="G9" t="s">
        <v>23</v>
      </c>
      <c r="H9" t="s">
        <v>111</v>
      </c>
      <c r="I9" t="s">
        <v>116</v>
      </c>
      <c r="J9" t="s">
        <v>115</v>
      </c>
      <c r="L9" t="s">
        <v>7</v>
      </c>
      <c r="M9" t="s">
        <v>111</v>
      </c>
      <c r="N9" t="s">
        <v>116</v>
      </c>
      <c r="O9" t="s">
        <v>117</v>
      </c>
      <c r="Q9">
        <v>8</v>
      </c>
    </row>
    <row r="10" spans="1:17" x14ac:dyDescent="0.25">
      <c r="G10" t="s">
        <v>13</v>
      </c>
      <c r="H10" t="s">
        <v>111</v>
      </c>
      <c r="I10" t="s">
        <v>116</v>
      </c>
      <c r="J10" t="s">
        <v>115</v>
      </c>
      <c r="L10" t="s">
        <v>7</v>
      </c>
      <c r="M10" t="s">
        <v>10</v>
      </c>
      <c r="N10" t="s">
        <v>116</v>
      </c>
      <c r="O10" t="s">
        <v>117</v>
      </c>
      <c r="Q10">
        <v>9</v>
      </c>
    </row>
    <row r="11" spans="1:17" x14ac:dyDescent="0.25">
      <c r="G11" t="s">
        <v>7</v>
      </c>
      <c r="H11" t="s">
        <v>10</v>
      </c>
      <c r="I11" t="s">
        <v>116</v>
      </c>
      <c r="J11" t="s">
        <v>115</v>
      </c>
      <c r="L11" t="s">
        <v>23</v>
      </c>
      <c r="M11" t="s">
        <v>10</v>
      </c>
      <c r="N11" t="s">
        <v>116</v>
      </c>
      <c r="O11" t="s">
        <v>117</v>
      </c>
      <c r="Q11">
        <v>10</v>
      </c>
    </row>
    <row r="12" spans="1:17" x14ac:dyDescent="0.25">
      <c r="G12" t="s">
        <v>23</v>
      </c>
      <c r="H12" t="s">
        <v>10</v>
      </c>
      <c r="I12" t="s">
        <v>116</v>
      </c>
      <c r="J12" t="s">
        <v>115</v>
      </c>
      <c r="L12" t="s">
        <v>13</v>
      </c>
      <c r="M12" t="s">
        <v>10</v>
      </c>
      <c r="N12" t="s">
        <v>116</v>
      </c>
      <c r="O12" t="s">
        <v>117</v>
      </c>
      <c r="Q12">
        <v>11</v>
      </c>
    </row>
    <row r="13" spans="1:17" x14ac:dyDescent="0.25">
      <c r="G13" t="s">
        <v>13</v>
      </c>
      <c r="H13" t="s">
        <v>10</v>
      </c>
      <c r="I13" t="s">
        <v>116</v>
      </c>
      <c r="J13" t="s">
        <v>115</v>
      </c>
    </row>
    <row r="14" spans="1:17" x14ac:dyDescent="0.25">
      <c r="G14" t="s">
        <v>7</v>
      </c>
      <c r="H14" t="s">
        <v>111</v>
      </c>
      <c r="I14" t="s">
        <v>114</v>
      </c>
      <c r="J14" t="s">
        <v>117</v>
      </c>
    </row>
    <row r="15" spans="1:17" x14ac:dyDescent="0.25">
      <c r="G15" t="s">
        <v>23</v>
      </c>
      <c r="H15" t="s">
        <v>111</v>
      </c>
      <c r="I15" t="s">
        <v>114</v>
      </c>
      <c r="J15" t="s">
        <v>117</v>
      </c>
    </row>
    <row r="16" spans="1:17" x14ac:dyDescent="0.25">
      <c r="G16" t="s">
        <v>13</v>
      </c>
      <c r="H16" t="s">
        <v>111</v>
      </c>
      <c r="I16" t="s">
        <v>114</v>
      </c>
      <c r="J16" t="s">
        <v>117</v>
      </c>
    </row>
    <row r="17" spans="7:10" x14ac:dyDescent="0.25">
      <c r="G17" t="s">
        <v>7</v>
      </c>
      <c r="H17" t="s">
        <v>10</v>
      </c>
      <c r="I17" t="s">
        <v>114</v>
      </c>
      <c r="J17" t="s">
        <v>117</v>
      </c>
    </row>
    <row r="18" spans="7:10" x14ac:dyDescent="0.25">
      <c r="G18" t="s">
        <v>23</v>
      </c>
      <c r="H18" t="s">
        <v>10</v>
      </c>
      <c r="I18" t="s">
        <v>114</v>
      </c>
      <c r="J18" t="s">
        <v>117</v>
      </c>
    </row>
    <row r="19" spans="7:10" x14ac:dyDescent="0.25">
      <c r="G19" t="s">
        <v>13</v>
      </c>
      <c r="H19" t="s">
        <v>10</v>
      </c>
      <c r="I19" t="s">
        <v>114</v>
      </c>
      <c r="J19" t="s">
        <v>117</v>
      </c>
    </row>
    <row r="20" spans="7:10" x14ac:dyDescent="0.25">
      <c r="G20" t="s">
        <v>7</v>
      </c>
      <c r="H20" t="s">
        <v>111</v>
      </c>
      <c r="I20" t="s">
        <v>116</v>
      </c>
      <c r="J20" t="s">
        <v>117</v>
      </c>
    </row>
    <row r="21" spans="7:10" x14ac:dyDescent="0.25">
      <c r="G21" t="s">
        <v>23</v>
      </c>
      <c r="H21" t="s">
        <v>111</v>
      </c>
      <c r="I21" t="s">
        <v>116</v>
      </c>
      <c r="J21" t="s">
        <v>117</v>
      </c>
    </row>
    <row r="22" spans="7:10" x14ac:dyDescent="0.25">
      <c r="G22" t="s">
        <v>13</v>
      </c>
      <c r="H22" t="s">
        <v>111</v>
      </c>
      <c r="I22" t="s">
        <v>116</v>
      </c>
      <c r="J22" t="s">
        <v>117</v>
      </c>
    </row>
    <row r="23" spans="7:10" x14ac:dyDescent="0.25">
      <c r="G23" t="s">
        <v>7</v>
      </c>
      <c r="H23" t="s">
        <v>10</v>
      </c>
      <c r="I23" t="s">
        <v>116</v>
      </c>
      <c r="J23" t="s">
        <v>117</v>
      </c>
    </row>
    <row r="24" spans="7:10" x14ac:dyDescent="0.25">
      <c r="G24" t="s">
        <v>23</v>
      </c>
      <c r="H24" t="s">
        <v>10</v>
      </c>
      <c r="I24" t="s">
        <v>116</v>
      </c>
      <c r="J24" t="s">
        <v>117</v>
      </c>
    </row>
    <row r="25" spans="7:10" x14ac:dyDescent="0.25">
      <c r="G25" t="s">
        <v>13</v>
      </c>
      <c r="H25" t="s">
        <v>10</v>
      </c>
      <c r="I25" t="s">
        <v>116</v>
      </c>
      <c r="J25" t="s">
        <v>117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Perceptions database</vt:lpstr>
      <vt:lpstr>Pavement type accuracy</vt:lpstr>
      <vt:lpstr>Pavement defects accuracy</vt:lpstr>
      <vt:lpstr>Cycle infrastructure accuracy</vt:lpstr>
      <vt:lpstr>Road type</vt:lpstr>
      <vt:lpstr>Calculation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Nunes Caetano</dc:creator>
  <cp:lastModifiedBy>Alan</cp:lastModifiedBy>
  <dcterms:created xsi:type="dcterms:W3CDTF">2023-04-10T21:14:10Z</dcterms:created>
  <dcterms:modified xsi:type="dcterms:W3CDTF">2023-06-02T21:36:48Z</dcterms:modified>
</cp:coreProperties>
</file>