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202300"/>
  <mc:AlternateContent xmlns:mc="http://schemas.openxmlformats.org/markup-compatibility/2006">
    <mc:Choice Requires="x15">
      <x15ac:absPath xmlns:x15ac="http://schemas.microsoft.com/office/spreadsheetml/2010/11/ac" url="C:\Users\alanp\OneDrive\Documentos\EXCELS PATENTES\"/>
    </mc:Choice>
  </mc:AlternateContent>
  <xr:revisionPtr revIDLastSave="0" documentId="13_ncr:1_{D3A55970-4B65-4E81-9B83-F4BF70DE146E}" xr6:coauthVersionLast="47" xr6:coauthVersionMax="47" xr10:uidLastSave="{00000000-0000-0000-0000-000000000000}"/>
  <bookViews>
    <workbookView xWindow="-108" yWindow="-108" windowWidth="23256" windowHeight="12456" xr2:uid="{F03C349B-0D6B-4AA9-B8B5-9754A49FB0B6}"/>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K2" i="1" s="1"/>
</calcChain>
</file>

<file path=xl/sharedStrings.xml><?xml version="1.0" encoding="utf-8"?>
<sst xmlns="http://schemas.openxmlformats.org/spreadsheetml/2006/main" count="1107" uniqueCount="625">
  <si>
    <t>Expediente No.</t>
  </si>
  <si>
    <t>Tipo de patente</t>
  </si>
  <si>
    <t>Título</t>
  </si>
  <si>
    <t>Fecha de radicación</t>
  </si>
  <si>
    <t xml:space="preserve">Estado </t>
  </si>
  <si>
    <t>Inventor</t>
  </si>
  <si>
    <t>Apoderado o contacto de la solicitud</t>
  </si>
  <si>
    <t>CIP</t>
  </si>
  <si>
    <t>Patente de Invención Nacional</t>
  </si>
  <si>
    <t>Publicada sin pago</t>
  </si>
  <si>
    <t>CAROLINA VERA MATIZ</t>
  </si>
  <si>
    <t>ALICIA LLOREDA RICAURTE</t>
  </si>
  <si>
    <t>PIEZA MODULAR Y ENSAMBLE POR TESELACIÓN</t>
  </si>
  <si>
    <t>Miguel Esteban Beltrán González</t>
  </si>
  <si>
    <t xml:space="preserve">MANUEL ANTONIO GUERRERO GAITAN </t>
  </si>
  <si>
    <t>B44C 3/12,_x000D_
E03B 11/14,_x000D_
E03F 1/00,_x000D_
F17C 3/00,_x000D_
E02B 11/00,_x000D_
E04B 1/343,_x000D_
E01C 5/00,_x000D_
E01C 5/06</t>
  </si>
  <si>
    <t>CARCASA DE DOS TAPAS</t>
  </si>
  <si>
    <t>WALTER ROLANDO GALVEZ RENDON</t>
  </si>
  <si>
    <t>WALTER ANTONIO GALVEZ URREGO</t>
  </si>
  <si>
    <t>H01L 41/053,_x000D_
H01L 41/23,_x000D_
H01R 4/64,_x000D_
H02K 5/00</t>
  </si>
  <si>
    <t>CALDERO ELÉCTRICO PARA HACER ARROZ, CALENTAR Y FREÍR</t>
  </si>
  <si>
    <t xml:space="preserve">Alberto Ceballos Sierra,_x000D_
Jaime Sierra Rivera </t>
  </si>
  <si>
    <t>A47J 27/00,_x000D_
A47J 27/62,_x000D_
H05B 1/02,_x000D_
A23L 7/10,_x000D_
A23P 30/00</t>
  </si>
  <si>
    <t>ORDENADOR MOLECULAR</t>
  </si>
  <si>
    <t>SANTIAGO ESCOBAR VELASQUEZ</t>
  </si>
  <si>
    <t>WILLIAM PARRA BARAJAS</t>
  </si>
  <si>
    <t>C10L 1/00,_x000D_
C10L 1/02,_x000D_
F02M 25/00,_x000D_
F02M 27/00,_x000D_
F02M 27/04</t>
  </si>
  <si>
    <t>PROCESO BASADO EN REDES NEURONALES PARA DETERMINAR PROBABILIDAD DE ENFERMEDAD PULMONAR OBSTRUCTIVA CRONICA (EPOC)</t>
  </si>
  <si>
    <t>LUIS FERNANDO GIRALDO CADAVID,_x000D_
Daniel Alfonso Botero Rosas,_x000D_
ADRIANA MALDONADO FRANCO</t>
  </si>
  <si>
    <t>CLAUDIA LUCIA CARO RAMIREZ</t>
  </si>
  <si>
    <t>G01N 33/543,_x000D_
G01N 33/68,_x000D_
C12Q 1/6883,_x000D_
C12Q 1/689,_x000D_
A61B 5/08,_x000D_
G16H 10/60,_x000D_
G16H 50/30</t>
  </si>
  <si>
    <t>COLORANTES A BASE DE NOPAL Y MÉTODOS DE PREPARACIÓN DE LOS MISMOS</t>
  </si>
  <si>
    <t>LINA  MARIA  CHICA OSORIO ,_x000D_
MAURICIO  VASQUEZ RENDÓN,_x000D_
Andrea Zuluaga Ríos,_x000D_
Juliana Mejía Tangarife,_x000D_
David Florencio Montes de la Espriella,_x000D_
Sharik Dayhan Herrera Chaverra</t>
  </si>
  <si>
    <t>MAURICIO JARAMILLO CAMPUZANO</t>
  </si>
  <si>
    <t>C09B 61/00,_x000D_
C09B 67/54</t>
  </si>
  <si>
    <t>ARTÍCULO ABSORBENTE DESECHABLE CON CAPACIDAD DE DISTRIBUCIÓN DE FLUIDO ABSORBIDO MEJORADO EN EL SENTIDO LONGITUDINAL</t>
  </si>
  <si>
    <t>Tomás Luis AMIAMA DI MARZIO</t>
  </si>
  <si>
    <t>A61F 5/44,_x000D_
A61F 13/15,_x000D_
A61F 13/49,_x000D_
A61F 13/511,_x000D_
A61F 13/53,_x000D_
B32B 3/24,_x000D_
B32B 27/12</t>
  </si>
  <si>
    <t>COMPOSICIÓN QUÍMICA CON CARACTERÍSTICAS FÍSICO-QUÍMICAS QUE LA ASEMEJAN A UN FLUIDO MENSTRUAL FEMENINO.</t>
  </si>
  <si>
    <t>Tomás Luis AMIAMA DI MARZIO,_x000D_
Karina Andrea SANCHEZ TREJO</t>
  </si>
  <si>
    <t>A61F 13/00,_x000D_
A61F 13/15,_x000D_
A61F 13/472,_x000D_
A61F 13/49,_x000D_
A61F 13/511,_x000D_
A61F 13/514,_x000D_
A61F 13/515,_x000D_
A61F 13/53,_x000D_
A61L 15/00</t>
  </si>
  <si>
    <t>DISPOSITIVO PARA AUTOMATIZAR ACCIONES DE COBRO TRIBUTARIO</t>
  </si>
  <si>
    <t>NATALIA COLORADO BETANCOURT</t>
  </si>
  <si>
    <t>G06G 7/00,_x000D_
G10L 13/00,_x000D_
G10L 15/00,_x000D_
G10L 15/01</t>
  </si>
  <si>
    <t>MECANISMO DE CONEXIÓN DEL ASIENTO CON COMPONENTES METÁLICOS Y POLIMÉRICOS</t>
  </si>
  <si>
    <t>ALVARO MAURICIO OLARTE</t>
  </si>
  <si>
    <t>LUIS FELIPE CASTILLO GIBSONE</t>
  </si>
  <si>
    <t>E05D 5/10,_x000D_
E05D 5/14,_x000D_
A47C 1/00,_x000D_
A47C 1/02,_x000D_
A47C 1/121,_x000D_
A47C 7/58,_x000D_
A47C 21/00</t>
  </si>
  <si>
    <t>MÁQUINA MODULAR, CÍCLICA Y ROTATORIA PARA SELECCIÓN Y CLASIFICACIÓN ÓPTICA DE FRUTOS DE CAFÉ</t>
  </si>
  <si>
    <t>YILVER ALEXIS CRUZ ORTIZ</t>
  </si>
  <si>
    <t>YILVER ALEXIS CRUZ ORTIZ,_x000D_
WEIMAR ANDRES CRUZ ORTIZ</t>
  </si>
  <si>
    <t>B07B 4/02,_x000D_
B07B 9/00,_x000D_
B07C 5/00,_x000D_
B07C 5/02,_x000D_
B07C 5/34,_x000D_
B07C 5/342,_x000D_
B07C 5/36,_x000D_
G01J 3/46</t>
  </si>
  <si>
    <t>SISTEMA DE OPTIMIZACIÓN Y DESVÍO INTELIGENTE DE AGUA PARA CALENTADORES DE GAS DOMÉSTICOS</t>
  </si>
  <si>
    <t>Daniel  López Tabares,_x000D_
Carlos Emilio López Ciro</t>
  </si>
  <si>
    <t>Daniel  López Tabares</t>
  </si>
  <si>
    <t>F24H 1/00,_x000D_
F24H 1/10,_x000D_
F24H 1/14,_x000D_
F24H 1/18,_x000D_
F24H 3/04,_x000D_
F24H 9/12,_x000D_
F24H 9/20,_x000D_
F24D 17/00</t>
  </si>
  <si>
    <t>MÉTODO Y APARATO PARA REVESTIR HILOS METÁLICOS Y NO METÁLICOS CON PLÁSTICO</t>
  </si>
  <si>
    <t>Marco Antonio Iturriza Moreno</t>
  </si>
  <si>
    <t>SISTEMA DE SUSPENSIÓN POSTERIOR PARA VEHICULOS ELÉCTRICO DE TRANSPORTE DE CARGA</t>
  </si>
  <si>
    <t>Rosemberg ESPINEL FORERO,_x000D_
JOHN FEDDY  TRAIANA VARGAS,_x000D_
Carlos Montenegro,_x000D_
ROBERTO IREGUI</t>
  </si>
  <si>
    <t>LIZBETH CALVO</t>
  </si>
  <si>
    <t>B60P 1/00,_x000D_
B60P 1/64,_x000D_
B60P 3/00,_x000D_
B60P 9/00,_x000D_
B60G 3/24,_x000D_
B60G 11/46,_x000D_
B62D 21/11,_x000D_
B60G 3/12,_x000D_
B60G 3/20,_x000D_
B60G 7/00,_x000D_
B60G 11/27,_x000D_
B60G 21/05</t>
  </si>
  <si>
    <t xml:space="preserve">SISTEMA BASTIDOR PARA UN VEHÍCULO ELÉCTRICO DE TRANPORTE DE CARGA </t>
  </si>
  <si>
    <t xml:space="preserve">CARLOS MIGUEL MONTENEGRO PEREZ,_x000D_
Rosemberg Espinel Forero,_x000D_
JOHN FEDDY  TRAIANA VARGAS,_x000D_
fabio alirio  cueca,_x000D_
fabio zapata montenegro </t>
  </si>
  <si>
    <t>B60P 1/00,_x000D_
B60P 1/64,_x000D_
B60P 3/00,_x000D_
B60P 9/00,_x000D_
B60L 50/50,_x000D_
B62D 31/00,_x000D_
B62K 5/01,_x000D_
B62K 7/04,_x000D_
B62J 43/20</t>
  </si>
  <si>
    <t>SISTEMA DE FRENOS PARA VEHICULO ELECTRICO DE TRANSPORTE DE CARGA</t>
  </si>
  <si>
    <t>Rosemberg ESPINEL FORERO,_x000D_
JOHN FEDDY  TRAIANA VARGAS,_x000D_
Carlos Montenegro,_x000D_
José Isaias Montaña Galán,_x000D_
DIEGO FERNANDO MOJICA,_x000D_
Henry Guerra Galvis,_x000D_
Claudio Bernardo Duque Calderón</t>
  </si>
  <si>
    <t>B60P 1/00,_x000D_
B60P 1/64,_x000D_
B60P 3/00,_x000D_
B60P 9/00,_x000D_
B60L 7/26,_x000D_
B60T 8/1761,_x000D_
B60T 13/58</t>
  </si>
  <si>
    <t>DISPOSITIVO DE TELEMEDICINA Y PROCEDIMIENTO DE DIAGNOSTICO Y CLASIFICACION DE RIESGO</t>
  </si>
  <si>
    <t>ELI JACOB GODOY RUIZ</t>
  </si>
  <si>
    <t>EDWAR ANDRES ROMERO GONGORA</t>
  </si>
  <si>
    <t>A61B 5/00,_x000D_
G06F 15/16,_x000D_
G06Q 50/00,_x000D_
H04M 11/00</t>
  </si>
  <si>
    <t>DISPOSITIVO DE BOMBEO PERPETUO PARA ACUAPONÍA</t>
  </si>
  <si>
    <t>Julia Victoria Arredondo Botero,_x000D_
Edwin Alberto Giraldo Ramírez,_x000D_
Óscar Eduardo Molano Betancur,_x000D_
Juan Esteban García Granda,_x000D_
Leonardo Quiceno Marín,_x000D_
José Antonio González Ruiz,_x000D_
Iván Alberto Herrera Duque,_x000D_
Juan Camilo Martínez Molina</t>
  </si>
  <si>
    <t>CARLOS FERNANDO TAMAYO LOPEZ</t>
  </si>
  <si>
    <t>A01G 31/06,_x000D_
A01K 63/04,_x000D_
A01G 7/04</t>
  </si>
  <si>
    <t>“REACTOR FUNGIBLE PARA EL PROCESAMIENTO DE BATERÍAS”</t>
  </si>
  <si>
    <t xml:space="preserve">Pedro Luis  Delvasto Angarita,_x000D_
Diego  Pérez Acevedo,_x000D_
Jhon Freddy  Palacios ,_x000D_
Diego Fernando  Hernández Pardo </t>
  </si>
  <si>
    <t>CARLOS REINALDO OLARTE GARCIA</t>
  </si>
  <si>
    <t>H01M 6/52</t>
  </si>
  <si>
    <t>EMPAQUE EXHIBIDOR PARA BOTELLA</t>
  </si>
  <si>
    <t>Cesar Augusto Bernal Gonzalez</t>
  </si>
  <si>
    <t>B65D 6/02,_x000D_
B65D 25/02,_x000D_
B65D 25/24</t>
  </si>
  <si>
    <t>MÁQUINA MODULAR PARA CONSTRUCCIÓN DE CIMENTACIONES</t>
  </si>
  <si>
    <t>Giovanni  Gélvez Gélvez ,_x000D_
Cristian Giovanni  Mosquera Castillo</t>
  </si>
  <si>
    <t>E21B 7/02,_x000D_
E21B 15/00,_x000D_
E21B 15/04,_x000D_
E21D 20/00,_x000D_
E21B 3/02,_x000D_
E21B 19/00,_x000D_
E21B 19/06,_x000D_
E21B 19/16,_x000D_
E21B 7/12,_x000D_
E21B 33/064,_x000D_
B63B 35/44</t>
  </si>
  <si>
    <t>COMPOSICIÓN DE ETIPROL Y FLONICAMID Y MÉTODO DE PREPARACIÓN DE LA MISMA Y GRÁNULOS DISPERSABLES EN AGUA DE LA MISMA</t>
  </si>
  <si>
    <t>Zhiqing LI,_x000D_
Jianwei WANG,_x000D_
Lanhua LIU,_x000D_
Peng SUN</t>
  </si>
  <si>
    <t>JUAN CARLOS CUESTA QUINTERO</t>
  </si>
  <si>
    <t>A01N 25/00,_x000D_
A01N 25/02,_x000D_
A01N 43/40,_x000D_
A01N 43/54,_x000D_
A01N 43/56,_x000D_
A01N 43/78,_x000D_
A01N 43/80,_x000D_
A01N 43/90,_x000D_
A01N 63/00</t>
  </si>
  <si>
    <t>INSERTO PLÁSTICO PARA VÁLVULAS O ACCESORIOS PLÁSTICOS</t>
  </si>
  <si>
    <t>Santiago González Echeverry</t>
  </si>
  <si>
    <t>María José Lamus Becerra</t>
  </si>
  <si>
    <t>F16L 55/07,_x000D_
F16K 27/02</t>
  </si>
  <si>
    <t>MONITOREO DE FRECUENCIAS DE VUELO Y PAUSAS EN VUELO ESTACIONARIO DE COLIBRÍES A TRAVÉS DE TÉCNICAS DE VISIÓN POR COMPUTADOR.</t>
  </si>
  <si>
    <t>Maria Ximena Bastidas Rodriguez,_x000D_
Ana Melisa Fernandes Fernandes,_x000D_
Juan Roncancio</t>
  </si>
  <si>
    <t>Maria Ximena Bastidas Rodriguez</t>
  </si>
  <si>
    <t>G06K 9/00,_x000D_
G06K 9/03,_x000D_
G06K 9/18,_x000D_
G06K 9/20,_x000D_
G06K 9/82</t>
  </si>
  <si>
    <t>MOTOR SÍNCRONO ULTRADELGADO Y ULTRALIVIANO CON CONTROL DE VELOCIDAD AUTOMÁTICO Y ELECTROMECÁNICO</t>
  </si>
  <si>
    <t>IVAN HERRERA MURGUEITIO</t>
  </si>
  <si>
    <t>H02K 17/00,_x000D_
H02K 17/02,_x000D_
H02K 19/00,_x000D_
H02K 19/02,_x000D_
H02K 21/00,_x000D_
H02K 41/025,_x000D_
H02K 41/03</t>
  </si>
  <si>
    <t>PROCESOS PARA LA FABRICACIÓN DE BRIQUETAS A PARTIR DE CÁSCARA DE COCO Y BRIQUETAS OBTENIDAS</t>
  </si>
  <si>
    <t>ASTRID VANESSA ESPINEL OVIEDO ,_x000D_
PAOLA ANDREA   MEJÍA ALVAREZ,_x000D_
MARIA MARGARITA  PORTILLA GONZÁLEZ,_x000D_
FRANCISCO JAVIER  CAICEDO MESSA</t>
  </si>
  <si>
    <t>MARIO ANDRES ORTEGA MENDOZA</t>
  </si>
  <si>
    <t>C10L 5/06,_x000D_
A01G 24/25</t>
  </si>
  <si>
    <t>CONTENEDOR PLEGABLE</t>
  </si>
  <si>
    <t>B65D 5/00</t>
  </si>
  <si>
    <t>DISPOSITIVO TIPO DENDRÓMETRO PARA MEDICIÓN DE TALLOS Y FRUTOS</t>
  </si>
  <si>
    <t>ORIANA MICHELLE GOMEZ MUÑOZ,_x000D_
Brian Stiven Bulla Caro,_x000D_
Deivy Ricardo Enciso Rodríguez,_x000D_
Esteban Alexis Morillo Morales,_x000D_
Liliana Ríos Rojas,_x000D_
Marysol Cano Benitez,_x000D_
Gustavo Acosta Herrera,_x000D_
Mauricio Fernando Martínez</t>
  </si>
  <si>
    <t>Diana Marcela  Bonilla Rojas</t>
  </si>
  <si>
    <t>G01B 5/00,_x000D_
G01B 7/12,_x000D_
G01B 7/16,_x000D_
G01B 11/02,_x000D_
G01N 33/46</t>
  </si>
  <si>
    <t>SISTEMA DE ALMACENAMIENTO DE ENERGÍA PARA VEHÍCULOS DE DOS RUEDAS Y MÉTODO DE FABRICACIÓN DEL MISMO</t>
  </si>
  <si>
    <t>Behlen Christian ,_x000D_
Martinovic Bernard</t>
  </si>
  <si>
    <t>JESUS MARIA MENDEZ BERMUDEZ</t>
  </si>
  <si>
    <t>B60L 50/64,_x000D_
H01M 50/202</t>
  </si>
  <si>
    <t>GENERADOR DE FUERZA MOTRIZ POR GRAVEDAD</t>
  </si>
  <si>
    <t>CARLOS YESID VARELA BERNAL</t>
  </si>
  <si>
    <t>F03G 3/00,_x000D_
F03G 7/10,_x000D_
B60L 50/10</t>
  </si>
  <si>
    <t>PIEZA DE MANO PARA ACELERACIÓN DEL MOVIMIENTO DENTAL Y CONTROL DEL DOLOR DURANTE LOS TRATAMIENTOS DE ORTODONCIA</t>
  </si>
  <si>
    <t>Angela Ines Dominguez Camacho</t>
  </si>
  <si>
    <t>SERGIO ANDRÉS VELÁSQUEZ CUJAR,_x000D_
Angela Ines Dominguez Camacho</t>
  </si>
  <si>
    <t>A61C 7/00,_x000D_
A61C 7/08,_x000D_
A61N 5/06,_x000D_
A61N 5/067</t>
  </si>
  <si>
    <t>SISTEMA Y PROCESO MODULAR DE SEPARACIÓN DE FLUIDOS Y CONVERSIÓN DE RESIDUOS A CARBÓN ACTIVO, COMBUSTIBLES LÍQUIDOS Y GASES COMBUSTIBLES POR ETAPA DUAL DE PIROLISIS, GASIFICACIÓN ACELERADA Y GENERACIÓN DE ENERGIA.</t>
  </si>
  <si>
    <t>YUBAR ALBERTO  ARROYAVE RESTREPO</t>
  </si>
  <si>
    <t>KAREN LORENA BONILLA BARRAGAN</t>
  </si>
  <si>
    <t>B09B 3/00,_x000D_
C10L 5/00,_x000D_
F23G 7/00</t>
  </si>
  <si>
    <t>MECANISMO DE ENCOFRADO PARA LOSAS HORIZONTALES DE BAJA ALTURA CON TABLEROS DE SOPORTE ACOPLABLES</t>
  </si>
  <si>
    <t>RIUSMAN JOSE  RODRIGUEZ MATUTIS ,_x000D_
JOSE DANIEL  RIVERA REYES</t>
  </si>
  <si>
    <t>HUGO DANIEL   GONZALEZ HERNANDEZ</t>
  </si>
  <si>
    <t>E04G 11/40,_x000D_
E04G 11/46,_x000D_
E04G 11/48,_x000D_
E04G 13/02,_x000D_
E04D 11/00,_x000D_
E04G 9/05,_x000D_
E04G 11/38,_x000D_
E04G 11/52,_x000D_
E04G 17/07</t>
  </si>
  <si>
    <t>MÉTODO Y SISTEMA PARA EL DISEÑO Y COSTEO DE SISTEMAS DE TRATAMIENTO DE AGUAS RESIDUALES DE ORIGEN INDUSTRIAL Y DOMÉSTICO</t>
  </si>
  <si>
    <t>CARLOS EMIRO FLOREZ LOPEZ,_x000D_
Carlos Alberto Albor Bula</t>
  </si>
  <si>
    <t>Gonzalo Andrés Carreño González</t>
  </si>
  <si>
    <t>C02F 9/00,_x000D_
C02F 9/06,_x000D_
C02F 1/24,_x000D_
C02F 1/00</t>
  </si>
  <si>
    <t>TRANSMISIÓN TIPO CARDAN CON EJES DOBLES PARALELOS ENTRE SÍ PARA BICICLETA</t>
  </si>
  <si>
    <t>VERNEY ANTONIO BLANDON TORRES</t>
  </si>
  <si>
    <t>B62M 6/35,_x000D_
B62M 6/75,_x000D_
B62M 11/12,_x000D_
B62M 13/00,_x000D_
B62M 17/00,_x000D_
B62M 25/00,_x000D_
B62K 23/00,_x000D_
B62J 45/00</t>
  </si>
  <si>
    <t>DISPOSITIVO DE SISTEMA MECÁNICO PARA BIODIGESTIÓN ANAERÓBICA</t>
  </si>
  <si>
    <t xml:space="preserve">ROBERTO ANTONIO  CARDONA PEREZ </t>
  </si>
  <si>
    <t>JUAN CARLOS  SUAREZ DELGADILLO</t>
  </si>
  <si>
    <t>C12M 1/02,_x000D_
C12M 1/107,_x000D_
C02F 3/28,_x000D_
C02F 11/04</t>
  </si>
  <si>
    <t>SISTEMA DE FLOTACION POR SATURACION DE GAS EN AGUA MEDIANTE AUTOMATIZACION DEL SISTEMA DE GENERACION DE MICROBURBUJA Y METODO ASOCIADO CON EL MISMO</t>
  </si>
  <si>
    <t>WILLIAM  ARIZA FONTECHA,_x000D_
BRAYAN DARIO FORIGUA GONZALEZ,_x000D_
JORGE IVAN  ESLAVA GUZMAN,_x000D_
EMIGDIO JAVIER FUENTES VELASQUEZ,_x000D_
JULIAN DAVID CERON GONZALEZ,_x000D_
ALEX HUMBERTO OTALORA RIVERA</t>
  </si>
  <si>
    <t>SANDRA MILENA RODRIGUEZ SARMIENTO</t>
  </si>
  <si>
    <t>G05B 13/00,_x000D_
G05B 17/00</t>
  </si>
  <si>
    <t>DISPOSITIVO Y MÉTODO DE DISPENSACIÓN DE ELEMENTOS FERROMAGNÉTICOS MENORES</t>
  </si>
  <si>
    <t>JUAN CARLOS  GARATE AGUIRRE,_x000D_
MARIA CRISTINA JARAMILLO GONZALES,_x000D_
ROLANDO JOSUÉ ANDRADE CALLE,_x000D_
MARCO BENITO REINOSO AVECILLAS,_x000D_
ANDRES EDUARDO CARDENAS SANCHEZ,_x000D_
LUIS EDUARDO ZAMBRANO HERAS</t>
  </si>
  <si>
    <t>B65B 35/30,_x000D_
B65B 35/56,_x000D_
G07F 11/00,_x000D_
G06F 3/0482,_x000D_
G06F 3/0484,_x000D_
H04N 5/247</t>
  </si>
  <si>
    <t>MÉTODO PARA PROCESAR PRODUCTOS DE CACAO CON SABOR, OLOR Y REOLOGÍA MEJORADA</t>
  </si>
  <si>
    <t>HECTOR HUGO OLARTE NOREÑA,_x000D_
CLAUDIA MILENA  RODRIGUEZ LÓPEZ,_x000D_
MARIA JOSE CHICA MORALES,_x000D_
SERGIO LEONARDO FLOREZ GONZALEZ,_x000D_
Ana Gabriela Rojas Velasquez,_x000D_
IVAN CASTAÑEDA MONSALVE,_x000D_
FRANCISCO JAVIER GOMEZ BUITRAGO</t>
  </si>
  <si>
    <t>A23G 1/00,_x000D_
A23G 1/52,_x000D_
A23G 1/56,_x000D_
A23G 3/36,_x000D_
A23G 9/32,_x000D_
A23L 5/40,_x000D_
A23L 27/20,_x000D_
A23L 27/29,_x000D_
A23L 33/105,_x000D_
A23G 1/04,_x000D_
A23L 25/10</t>
  </si>
  <si>
    <t>UN LIBRO CON PÁGINAS ILUSTRADAS</t>
  </si>
  <si>
    <t>MUDr. MICHAL VIRAG, PhD.</t>
  </si>
  <si>
    <t>CLEMENCIA DELGADO VILLEGAS</t>
  </si>
  <si>
    <t>B42D 15/00,_x000D_
B42D 15/02,_x000D_
A47B 19/00,_x000D_
B42D 3/12,_x000D_
G09B 5/06,_x000D_
B42D 3/00</t>
  </si>
  <si>
    <t>PANELES EN CONCRETO ALIGERADOS IGNÍFUGOS, RESISTENTE A LA HUMEDAD Y DE ALTA RESISTENCIA MECÁNICA</t>
  </si>
  <si>
    <t>CHRISTIAN CAMILO  MELO RINCÓN</t>
  </si>
  <si>
    <t>C04B 24/08,_x000D_
C04B 24/12,_x000D_
C04B 103/30,_x000D_
C04B 28/04,_x000D_
C04B 38/00,_x000D_
C04B 40/00</t>
  </si>
  <si>
    <t>METODO Y SISTEMA PARA INTERCOMUNICAR TODA LA INFORMACION DEL SERVICIO DE TRANSPORTE PUBLICO URBANO CON EL USUARIO</t>
  </si>
  <si>
    <t xml:space="preserve">JOSE GUSTAVO GRISALES GARCIA </t>
  </si>
  <si>
    <t>G06F 30/18,_x000D_
H04W 92/00,_x000D_
H04W 12/00,_x000D_
H04W 8/02</t>
  </si>
  <si>
    <t xml:space="preserve"> PROCEDIMIENTO PARA LA PRODUCCIÓN DE BIOHIDRÓGENO A PARTIR DE LA CODIGESTIÓN DE RESIDUO DE CORTE DE CAÑA DE AZÚCAR Y VINAZAS</t>
  </si>
  <si>
    <t xml:space="preserve">HOWARD DIEGO  RAMÍREZ MALULE,_x000D_
ANDRÉS FERNANDO                       BARRERA ARISTIZÁBAL ,_x000D_
DAVID ANDRÉS     GÓMEZ RÍOS    </t>
  </si>
  <si>
    <t>FELIPE EDUARDO  FIGUEROA CARDOZO</t>
  </si>
  <si>
    <t>C12P 3/00,_x000D_
C12P 19/02,_x000D_
C12P 19/14</t>
  </si>
  <si>
    <t>SISTEMA DE GENERACIÓN DE HIDRÓGENO VERDE A PARTIR DE UNA CELDA ELECTROLÍTICA DE UNA SOLA CÁMARA EN SECO</t>
  </si>
  <si>
    <t>Roberto Calvo</t>
  </si>
  <si>
    <t>B01D 53/26,_x000D_
C25B 1/04,_x000D_
C25B 9/00,_x000D_
C25B 9/19,_x000D_
C25B 15/027,_x000D_
C25B 15/08,_x000D_
C25B 1/02,_x000D_
C25B 1/044,_x000D_
C25B 15/021,_x000D_
C25B 15/029</t>
  </si>
  <si>
    <t>MATERIAL RER</t>
  </si>
  <si>
    <t>William Alberto Soto</t>
  </si>
  <si>
    <t>William Esteban Soto Posada</t>
  </si>
  <si>
    <t>E04C 1/00,_x000D_
E04C 2/00,_x000D_
C04B 18/04</t>
  </si>
  <si>
    <t>DISPOSITIVO PARA LA OBTENCIÓN DE GRÁNULOS REDONDEADOS DE NACL</t>
  </si>
  <si>
    <t>SANDRO BAEZ PIMIENTO,_x000D_
MARÍA ELENA  HERNÁNDEZ ROJAS ,_x000D_
SANDRA LUZ CASTAÑÓN ALONSO</t>
  </si>
  <si>
    <t>Natalia Lucia Velez Taborda</t>
  </si>
  <si>
    <t>B01D 1/18,_x000D_
B01J 2/04,_x000D_
B22D 29/00,_x000D_
C01D 3/22,_x000D_
C30B 29/12,_x000D_
C30B 29/60</t>
  </si>
  <si>
    <t>VÁLVULA DE SENTADO Y SELLO THOR</t>
  </si>
  <si>
    <t>Rolando  Olarte Duran</t>
  </si>
  <si>
    <t>A01J 9/06,_x000D_
B21K 1/24,_x000D_
B23C 3/05</t>
  </si>
  <si>
    <t>MÉTODOS DE PREPARACIÓN DE GLUFOSINATO</t>
  </si>
  <si>
    <t>Chengjun WU,_x000D_
Nan LI,_x000D_
Jianjie XU,_x000D_
Xianzhong TANG,_x000D_
Chunhui MAO,_x000D_
Wenjie TAN</t>
  </si>
  <si>
    <t>HELENA CAMARGO WILLIAMSON</t>
  </si>
  <si>
    <t>C07B 55/00,_x000D_
C07B 57/00,_x000D_
C07C 227/36,_x000D_
C07C 229/08,_x000D_
C07C 229/36,_x000D_
C07D 453/04,_x000D_
C07F 9/30,_x000D_
C07F 9/32</t>
  </si>
  <si>
    <t>DISPOSITIVO Y METODO PARA EL SUMINISTRO CONTROLADO DE OXI-HIDROGENO COMBINADO CON COMBUSTIBLE PARA MAQUINAS TERMICAS</t>
  </si>
  <si>
    <t>MIGUEL SANTIAGO ARANGO YOVANY ,_x000D_
FRANCISCO JAVIER  GONZÁLES BARRETO</t>
  </si>
  <si>
    <t>GUILLERMO ANDRES NAVARRO ROMERO</t>
  </si>
  <si>
    <t>G01R 31/00,_x000D_
C25B 9/17,_x000D_
F02M 21/02,_x000D_
F02M 25/06,_x000D_
F02C 3/00,_x000D_
F02C 3/14</t>
  </si>
  <si>
    <t>MÁQUINA PARA HACER AREPAS Y TORTILLAS MODELO C – 17</t>
  </si>
  <si>
    <t>DANIEL MAURICIO  LOVERA PÉREZ</t>
  </si>
  <si>
    <t>DANIELA NATALIA CORTÉS MURILLO</t>
  </si>
  <si>
    <t>A21C 15/04,_x000D_
A21C 1/00,_x000D_
A21C 3/00</t>
  </si>
  <si>
    <t>SOPORTE PARA DISPOSITIVOS ELECTRONICOS ADAPTADO AL CUERPO DEL USUARIO</t>
  </si>
  <si>
    <t>Juan Carlos Montes Galarza</t>
  </si>
  <si>
    <t>A47B 23/04,_x000D_
A47B 97/04,_x000D_
A45C 11/00,_x000D_
F16M 11/10,_x000D_
F16M 11/38,_x000D_
F16M 13/00</t>
  </si>
  <si>
    <t>MÉTODO PARA REMOVER CADMIO DE LICOR DE CACAO</t>
  </si>
  <si>
    <t>Juan Carlos  Cruz Jimenez ,_x000D_
Ana Lucía  CAMPAÑA PERILLA ,_x000D_
María Camila  CLAVIJO PÉREZ,_x000D_
Johann Faccelo OSMA CRUZ,_x000D_
HECTOR HUGO OLARTE NOREÑA,_x000D_
CLAUDIA MILENA  RODRIGUEZ LÓPEZ,_x000D_
JUAN DIEGO BORRERO JIMENEZ,_x000D_
MABEL JULIANA NOGUERA CONTRERAS,_x000D_
JULIETTE FERNANDA  BERMUDEZ CAMELO,_x000D_
MARIA JOSE CHICA MORALES,_x000D_
NATALIA LÓPEZ BARBOSA,_x000D_
PAOLA RUIZ PUENTES,_x000D_
SERGIO LEONARDO FLOREZ GONZALEZ</t>
  </si>
  <si>
    <t>CAMILO JAVIER GOMEZ RIVEROS</t>
  </si>
  <si>
    <t>B01D 15/00,_x000D_
B01J 20/32,_x000D_
B01J 45/00,_x000D_
A23G 1/00,_x000D_
A23L 5/20</t>
  </si>
  <si>
    <t>CHAQUETA ELECTROLUMINISCENTE PARA VÍAS</t>
  </si>
  <si>
    <t>Luis David Garcia Giraldo</t>
  </si>
  <si>
    <t>A41D 1/02,_x000D_
H05B 33/00,_x000D_
A41D 3/00,_x000D_
A41D 13/01</t>
  </si>
  <si>
    <t>DISPOSICIÓN INTRODUCIDA EN UNA PLATAFORMA ELEVADORA DE VEHÍCULOS</t>
  </si>
  <si>
    <t>GABRIEL STUMPF</t>
  </si>
  <si>
    <t>B60S 9/215,_x000D_
B60S 1/20,_x000D_
B60S 9/00</t>
  </si>
  <si>
    <t>SALSA PARA HELADOS QUE MANTIENE UNA TEXTURA SUAVE Y UNIFORME A BAJAS TEMPERATURAS</t>
  </si>
  <si>
    <t>Angelo Lucas,_x000D_
Alejandra María Beltrán Uribe,_x000D_
Tatiana Andrea Becerra,_x000D_
Marcela Rodriguez Bernal</t>
  </si>
  <si>
    <t>A23K 50/48,_x000D_
A23L 29/20,_x000D_
A23L 33/125,_x000D_
A23L 5/43</t>
  </si>
  <si>
    <t>SENSOR Y MÉTODO PARA LA DETECCIÓN DE BIOMOLÉCULAS ASOCIADAS CON PATÓGENOS</t>
  </si>
  <si>
    <t>ANDRÉS JARAMILLO BOTERO,_x000D_
CARLOS ENRIQUE  NAVARRO CHICA</t>
  </si>
  <si>
    <t>G01N 33/569,_x000D_
G01N 33/68,_x000D_
G01N 33/53,_x000D_
G01N 33/00</t>
  </si>
  <si>
    <t>SENSOR PARA LA DETECCIÓN DE ÁCIDO SALICÍLICO EN PLANTAS</t>
  </si>
  <si>
    <t>ANDRÉS JARAMILLO BOTERO,_x000D_
Drochss Valencia ,_x000D_
Sammy Perdomo</t>
  </si>
  <si>
    <t>G01N 33/00,_x000D_
G01N 17/00,_x000D_
G01N 33/68,_x000D_
G01N 27/00</t>
  </si>
  <si>
    <t>MÉTODO DE OBTENCIÓN DE NANOPOLIMEROS FOTOSENSIBLES PARA ENCAPSULACIÓN DE MOLÉCULAS HIDROFÍLICAS O HIDROFÓBICAS</t>
  </si>
  <si>
    <t>LINA MARCELA HOYOS PALACIO</t>
  </si>
  <si>
    <t>A01H 5/00,_x000D_
A61K 9/00,_x000D_
A61K 9/127,_x000D_
A61K 38/00,_x000D_
A61K 39/00,_x000D_
A61K 39/395</t>
  </si>
  <si>
    <t>APARATO PORTÁTIL PARA MEDICIÓN DE LA CALIDAD DEL AIRE</t>
  </si>
  <si>
    <t xml:space="preserve">Juan Carlos Cobos Torres,_x000D_
Cristian Fernando  Morocho Quishpi </t>
  </si>
  <si>
    <t>F24F 110/22,_x000D_
F24F 110/52</t>
  </si>
  <si>
    <t>SISTEMA DE TREN MOTOR PARA VEHICULO ELECTRICO DE TRANSPORTE DE CARGA</t>
  </si>
  <si>
    <t>Rosemberg ESPINEL FORERO</t>
  </si>
  <si>
    <t>B60P 1/00,_x000D_
B60P 1/64,_x000D_
B60P 3/00,_x000D_
B60P 9/00,_x000D_
B60L 7/26,_x000D_
B60T 8/1761</t>
  </si>
  <si>
    <t>SISTEMA DE DIRECCION PARA VEHICULO ELECTRICO DE TRANSPORTE DE CARGA</t>
  </si>
  <si>
    <t>CARLOS MIGUEL MONTENEGRO PEREZ,_x000D_
Rosemberg Espinel Forero,_x000D_
JOHN FEDDY  TRAIANA VARGAS,_x000D_
JOSE ISAIAS MONTAÑA GALAN,_x000D_
ROBERTO IREGUI,_x000D_
DIEGO FERNANDO MOJICA</t>
  </si>
  <si>
    <t>B60P 1/00,_x000D_
B60P 1/64,_x000D_
B60P 3/00,_x000D_
B60P 9/00,_x000D_
B62D 1/04,_x000D_
B62D 1/183,_x000D_
G01B 5/00,_x000D_
G01B 5/08,_x000D_
G01M 17/06</t>
  </si>
  <si>
    <t>TABLETA MULTIACTIVOS EN EL TRATAMIENTO Y CONTROL DE DOLOR SEVERO CRÓNICO Y MÉTODO DE PREPARACIÓN</t>
  </si>
  <si>
    <t>Cecilia Jannette MUÑOZ MARTINEZ,_x000D_
Marco Antonio ESPINOSA OLIVARES,_x000D_
Paola Yazmín OLLERVIDES RUBIO,_x000D_
José Guillermo SANDER PADILLA,_x000D_
Jorge Alejandro GONZÁLEZ CANUDAS</t>
  </si>
  <si>
    <t>A61K 31/415,_x000D_
A61K 31/635,_x000D_
A61P 29/00</t>
  </si>
  <si>
    <t>COMBINACIÓN DE CELECOXIB - ACETAMINOFÉN DE ESTABILIDAD MEJORADA Y PROCEDIMIENTO PARA SU PREPARACIÓN</t>
  </si>
  <si>
    <t>A61K 9/20,_x000D_
A61K 9/16,_x000D_
A61K 9/00,_x000D_
A61K 31/165</t>
  </si>
  <si>
    <t>UNIDAD HIDRÁULICA MÓVIL PARA EXTRACCIÓN, INSERCIÓN Y DESPLAZAMIENTO DE TUBERÍAS Y/O HERRAMIENTAS EN POZOS DE PETRÓLEO Y SU MÉTODO DE ENSAMBLAJE PARA LA INTERVENCIÓN DE UN POZO</t>
  </si>
  <si>
    <t>IVAN JOYA ALVAREZ</t>
  </si>
  <si>
    <t>E21B 19/084,_x000D_
E21B 19/02,_x000D_
B66D 1/44,_x000D_
B66D 1/58,_x000D_
E21B 19/08</t>
  </si>
  <si>
    <t>SISTEMA DE CONFIGURACIÓN REMOTA PARA TELEREHABILITACIÓN</t>
  </si>
  <si>
    <t>ROBERTO FERRO ESCOBAR,_x000D_
LILIA EDITH   APARICIO PICO,_x000D_
PAULO CESAR  CORONADO SÁNCHEZ</t>
  </si>
  <si>
    <t>JUAN CARLOS SERNA ROJAS</t>
  </si>
  <si>
    <t>H04L 12/403,_x000D_
H04W 72/12,_x000D_
H04W 84/18,_x000D_
G01S 1/02,_x000D_
G01S 1/20,_x000D_
G01S 5/02,_x000D_
G01S 5/10</t>
  </si>
  <si>
    <t>COMPUESTO LAMINADO PARA LA CONDUCCIÓN DE AGUAS</t>
  </si>
  <si>
    <t>JUAN PABLO ACEVEDO SUAREZ</t>
  </si>
  <si>
    <t>RODRIGUEZ VARELA PEDRO HORACIO</t>
  </si>
  <si>
    <t>E02D 17/20,_x000D_
E02D 29/02,_x000D_
E02D 31/02</t>
  </si>
  <si>
    <t>DISPOSITIVO PORTÁTIL Y MODULAR DESTINADO AL APRENDIZAJE DE LOS FUNDAMENTOS Y LA LÓGICA MATEMÁTICA DE LA MÚSICA</t>
  </si>
  <si>
    <t>GUSTAVO ADOLFO  TORRES DUQUE</t>
  </si>
  <si>
    <t>LUIS ANGEL MADRID BERROTERÁN</t>
  </si>
  <si>
    <t>G09B 15/00,_x000D_
G09B 15/02,_x000D_
G09B 15/04,_x000D_
G10G 1/04,_x000D_
G10H 1/00,_x000D_
G10H 1/32</t>
  </si>
  <si>
    <t>TOSTADOR Y FILTRADOR DE SUSTANCIAS EN GRANOS</t>
  </si>
  <si>
    <t>Gerson Freive Restrepo</t>
  </si>
  <si>
    <t>A23N 12/00,_x000D_
A47J 31/00</t>
  </si>
  <si>
    <t>AUTOMATIZACIÓN PARA LA TRANSFORMACIÓN DE LA POSICIÓN DE ESCALÓN A PLATAFORMA O VICEVERSA EN ELEVADOR TIPO ESCALERA-PLATAFORMA</t>
  </si>
  <si>
    <t>B41B 11/30,_x000D_
B41B 11/34,_x000D_
B41B 11/92,_x000D_
B65F 3/08,_x000D_
B65F 3/18</t>
  </si>
  <si>
    <t>SISTEMA ELECTRÓNICO PARA LA IDENTIFICACIÓN DE LA FRECUENCIA DE CAMBIOS DE POSICIÓN Y PREVENCIÓN DE CAÍDAS</t>
  </si>
  <si>
    <t>PEDRO ANTONIO AYA PARRA,_x000D_
OLGA LUCIA CORTES FERREIRA,_x000D_
JEFFERSON STEVEN SARMIENTO ROJAS</t>
  </si>
  <si>
    <t>XIMENA BETANCOURT DE CASTRO</t>
  </si>
  <si>
    <t>G08B 1/02,_x000D_
G08B 25/10,_x000D_
A44C 5/00,_x000D_
A61B 5/00,_x000D_
A61B 5/021,_x000D_
A61B 5/11,_x000D_
G08B 21/02,_x000D_
G08B 21/04</t>
  </si>
  <si>
    <t>COMPOSICIÓN ANTIMICROBIANA</t>
  </si>
  <si>
    <t>Denisse Adriana  Oñate Pérez,_x000D_
Rita Esther   García Pasiminio,_x000D_
Guillermo Andrés   Viecco Castillo</t>
  </si>
  <si>
    <t>JUAN PABLO CADENA SARMIENTO</t>
  </si>
  <si>
    <t>A01N 25/04,_x000D_
A01N 31/02,_x000D_
A01N 37/12,_x000D_
A61K 31/00,_x000D_
A61L 2/18,_x000D_
A01P 1/00,_x000D_
A23L 5/20</t>
  </si>
  <si>
    <t>SISTEMA DE ENTREGA DE POLVO EXCIPIENTE</t>
  </si>
  <si>
    <t>Michael GULYAS,_x000D_
Dean HARRIS</t>
  </si>
  <si>
    <t>MARGARITA CASTELLANOS ABONDANO</t>
  </si>
  <si>
    <t>C09D 129/04,_x000D_
A61K 9/28,_x000D_
A61K 9/32,_x000D_
A61K 9/34,_x000D_
A61K 9/36,_x000D_
A61K 9/42,_x000D_
A61K 47/24,_x000D_
A61K 47/32,_x000D_
C08L 5/14,_x000D_
C08L 91/00</t>
  </si>
  <si>
    <t>BIOFILTRO MODULAR DE FLUJO MIXTO PARA TRATAMIENTO DE AGUAS RESIDUALES CON MATERIAL VEGETAL DE DESHECHOS AGROINDUSTRIALES COMO LECHO FILTRANTE</t>
  </si>
  <si>
    <t>CINTYA KATHERINE OJEDA RIANOS,_x000D_
JORGE ANDRÉS PEREZ GAMBOA</t>
  </si>
  <si>
    <t>C02F 3/00,_x000D_
C02F 9/00,_x000D_
C02F 3/26,_x000D_
C02F 3/34</t>
  </si>
  <si>
    <t>PROCESO DE FABRICACIÓN DE UN EMPAQUE ANULAR PARA CAJA DE EMPAQUETADURA EN BOMBAS RECIPROCANTES Y EMPAQUE PARA CAJA DE EMPAQUETADURA EN BOMBAS RECIPROCANTES</t>
  </si>
  <si>
    <t>JAIME EDUARDO CAICEDO VARGAS</t>
  </si>
  <si>
    <t>DAVID JESUS MENDEZ VILLAMIZAR</t>
  </si>
  <si>
    <t>B29C 41/36,_x000D_
B29C 44/16,_x000D_
B29C 49/52</t>
  </si>
  <si>
    <t>MÉTODO DE MONITOREO Y ANÁLISIS DE IMÁGENES BIOMÉDICAS</t>
  </si>
  <si>
    <t>Orlando  Álvarez Llamoza,_x000D_
Carlos Armando  Echeverría Avendaño,_x000D_
Kay Andrés  Tucci Kellerer</t>
  </si>
  <si>
    <t>A61B 1/00,_x000D_
A61B 3/10,_x000D_
A61B 5/00,_x000D_
A61B 5/02,_x000D_
A61B 5/11,_x000D_
A61B 10/00,_x000D_
A61B 17/00,_x000D_
A61B 17/70</t>
  </si>
  <si>
    <t>DISPOSITIVO DESMONTABLE PARA FACILITAR LARINGOSCOPIAS EN PACIENTES EDÉNTULOS CON PROTECCIÓN PARA REALIZAR PALANCA SOBRE LA ENCÍA</t>
  </si>
  <si>
    <t>JUAN ENRIQUE  ARANGO CADAVID</t>
  </si>
  <si>
    <t>ANDRES MARQUEZ ACOSTA</t>
  </si>
  <si>
    <t>A61B 17/94,_x000D_
A61B 17/28,_x000D_
A61B 17/34,_x000D_
A61B 90/60,_x000D_
A61B 50/00,_x000D_
A61B 90/16</t>
  </si>
  <si>
    <t>MÉTODOS PARA MEJORAR LA ADSORCIÓN DE CONJUGADOS DE POLISACÁRIDO-PROTEÍNA Y FORMULACIÓN DE VACUNA MULTIVALENTE OBTENIDA DE LOS MISMOS</t>
  </si>
  <si>
    <t xml:space="preserve">Rajeev Mhalasakant DHERE,_x000D_
Swapan Kumar JANA,_x000D_
Cyrus Soli POONAWALLA ,_x000D_
Shital Shantilal JAIN ,_x000D_
Amol Dattatraya MAHAJAN ,_x000D_
Gourab Shankar  PAUL ,_x000D_
HItesh Kumar MALVIYA ,_x000D_
Chetan Vilas Joshi,_x000D_
Manish Mahesh GAUTAM ,_x000D_
Prathamesh Prakash KALE ,_x000D_
Jagdish Prasad GAIROLA SUNIL ,_x000D_
Asha Dinesh MALLYA ,_x000D_
Dipen Jagdishbhai SONI ,_x000D_
Sushil Vardhaman PATNI ,_x000D_
Vinay Vijay GAVADE </t>
  </si>
  <si>
    <t>CAROLINA MERCEDES DAZA MONTALVO</t>
  </si>
  <si>
    <t>A61K 39/00,_x000D_
C08B 37/00,_x000D_
C12N 1/06,_x000D_
C12P 19/04</t>
  </si>
  <si>
    <t>SISTEMA DE PAGO PARA PERMITIR EL PAGO DIVIDIDO Y MÉTODO PARA REALIZAR EL PAGO DIVIDIDO DEL MISMO</t>
  </si>
  <si>
    <t>Hyung Woo KIM</t>
  </si>
  <si>
    <t>LUZ HELENA ADARVE GOMEZ</t>
  </si>
  <si>
    <t>G06Q 20/00,_x000D_
G06Q 20/04</t>
  </si>
  <si>
    <t>PROCESO DE INYECCIÓN DE AIRE Y AGUA ALTERNADA POR UN MISMO POZO INYECTOR EN YACIMIENTOS PROFUNDOS DE CRUDO EXTRA-PESADO CON GAS EN SOLUCIÓN</t>
  </si>
  <si>
    <t>CARLOS EDUARDO NARANJO SUAREZ,_x000D_
EDWIN RODRIGUEZ PAREDES,_x000D_
JUAN CARLOS COMAS GOMEZ,_x000D_
MARTA LILIANA TRUJILLO PORTILLO,_x000D_
NICOLÁS CAICEDO HERNÁNDEZ,_x000D_
HELMUT  SALAZAR BARRERO,_x000D_
Diego Alejandro CARDENAS PATIÑO,_x000D_
Freddy PORTILLO SERRUDO,_x000D_
Jose Walter Vanegas Prada,_x000D_
ANDRES FELIPE TRUJILLO SANCHEZ,_x000D_
CHRISTIAN LEANDRO LEIVA HERRERA,_x000D_
DARIO ALEXIS RUEDA GARCIA</t>
  </si>
  <si>
    <t>LUZ MARA HERRERA HERRERA</t>
  </si>
  <si>
    <t>E21B 43/00,_x000D_
E21B 43/24,_x000D_
E21B 43/243,_x000D_
E21B 43/16</t>
  </si>
  <si>
    <t>REACTOR FUNGIBLE PARA EL PROCESAMIENTO DE BATERÍAS</t>
  </si>
  <si>
    <t>DISPOSITIVO PARA SEPARAR CABEZAS DE PESCADO EN BLOQUES CONGELADOS, A TRAVÉS DEL USO DE MARTILLOS TIPO COMBA</t>
  </si>
  <si>
    <t>Mario Ricardo  Arbulú Saavedra,_x000D_
OSCAR EDUARDO CHAVARRO ARIAS,_x000D_
David  Saavedra Mora</t>
  </si>
  <si>
    <t>OSCAR EDUARDO CHAVARRO ARIAS</t>
  </si>
  <si>
    <t>A22C 25/04,_x000D_
A22C 25/08,_x000D_
A22C 25/14</t>
  </si>
  <si>
    <t>SISTEMA DE SUSPENSION ANTERIOR PARA UN VEHÍCULO ELECTRICO DE TRANSPORTE DE CARGA</t>
  </si>
  <si>
    <t>Rosemberg ESPINEL FORERO,_x000D_
JOHN FEDDY  TRAIANA VARGAS,_x000D_
Carlos Montenegro,_x000D_
ROBERTO IREGUI,_x000D_
Andrés Felipe Ramírez Moreno</t>
  </si>
  <si>
    <t>B60G 5/00,_x000D_
B60G 21/00,_x000D_
B60G 11/23</t>
  </si>
  <si>
    <t>VOLANTE MULTIPLICADOR DE TORQUE</t>
  </si>
  <si>
    <t>TEODICELO GOMEZ PUENTES</t>
  </si>
  <si>
    <t>F03G 3/00,_x000D_
F03G 3/06,_x000D_
F03G 7/08</t>
  </si>
  <si>
    <t>METODO PARA LA PRODUCCION DE OXIDO DE GRAFENO REDUCIDO (RGO) DE ALTA CALIDAD</t>
  </si>
  <si>
    <t>LINA MARCELA HOYOS PALACIO,_x000D_
AURA SOFIA MERLANO MANOTAS</t>
  </si>
  <si>
    <t>JULIAN  ESCUDERO CORREA</t>
  </si>
  <si>
    <t>C09K 8/03,_x000D_
B82Y 30/00,_x000D_
B82Y 40/00,_x000D_
H01M 4/133,_x000D_
C01B 32/184,_x000D_
C01B 32/19,_x000D_
B01D 1/18,_x000D_
C09K 3/00,_x000D_
B01J 19/10</t>
  </si>
  <si>
    <t>MÉTODO PARA LA DETECCIÓN Y CUANTIFICACIÓN DE BACTERIAS OXIDADORAS DE SULFURO MEDIANTE GEN MARCADOR ESPECIFICO</t>
  </si>
  <si>
    <t>Bladimiro RINCÓN OROZCO,_x000D_
Jhorman Alexis Niño Gomez,_x000D_
Ronald Jaimes Prada,_x000D_
SARA MARCELA URIBE OCHOA</t>
  </si>
  <si>
    <t>G01N 33/00</t>
  </si>
  <si>
    <t>SISTEMA PARA EL MONITOREO DEL TRÁNSITO VEHICULAR, EL CONTROL Y EL  AUMENTO DE LA SEGURIDAD DE LOS ACTORES VIALES.</t>
  </si>
  <si>
    <t>ISAIAS  LANS VARGAS,_x000D_
JUAN CARLOS  LONDOÑO TASCON,_x000D_
DIANA MARCELA  TRIANA MALDONADO,_x000D_
MAURICIO ANDRES VILLA AMAYA,_x000D_
MARYI ALEJANDRA CARVAJAL QUINTERO,_x000D_
LUIS FELIPE SALAS GUERRERO,_x000D_
JUAN PABLO  ACERO BAENA,_x000D_
BAYRON HERNANDEZ TOUS</t>
  </si>
  <si>
    <t>JUAN CARLOS TORRES IBARRA</t>
  </si>
  <si>
    <t>G08G 1/00</t>
  </si>
  <si>
    <t>FILTRO DE MATERIAL PARTICULADO</t>
  </si>
  <si>
    <t>MARIA CLARA RESTREPO RESTREPO,_x000D_
MARLON ANDRÉS OSORIO DELGADO,_x000D_
Melissa Paola Cortes Gomez,_x000D_
Cristina Isabel  Castro Herazo ,_x000D_
Sergio Andres  Saldarriaga Suarez</t>
  </si>
  <si>
    <t>B03C 3/30,_x000D_
B03C 3/64,_x000D_
A62B 23/02,_x000D_
B32B 5/26,_x000D_
A41D 13/11,_x000D_
A41D 27/00,_x000D_
A41D 31/02,_x000D_
A41D 31/04</t>
  </si>
  <si>
    <t>MÉTODO PARA MONITOREO DE CUERPOS DE AGUA MEDIANTE CAPTACIÓN DE MUESTRAS CON DRONES PROGRAMABLES Y TELEDETECCIÓN MULTIESPECTRAL</t>
  </si>
  <si>
    <t>JOSE ALEJANDRO OTERO NORIEGA,_x000D_
JULIO GONZALEZ BASTARDO,_x000D_
Alejandro Peinado Borelly,_x000D_
maiker rojas castro,_x000D_
Alberto Mario potes coronado,_x000D_
ecler david reyes calderon</t>
  </si>
  <si>
    <t>JOSE ALEJANDRO OTERO NORIEGA</t>
  </si>
  <si>
    <t>B64C 39/02,_x000D_
B64D 47/08,_x000D_
G01N 1/04,_x000D_
G01N 1/12,_x000D_
B64D 1/22,_x000D_
B64D 7/00,_x000D_
B64D 47/00,_x000D_
B65D 25/00,_x000D_
B65D 25/40,_x000D_
B65D 41/04,_x000D_
B65D 53/02,_x000D_
B65D 85/00</t>
  </si>
  <si>
    <t>APARATO DIGESTOR ELECTRO MECANICO Y PROCEDIMIENTO QUIMICO PARA DISOLVER CADÁVERES DE ANIMALES Y HUMANOS POR METODO DE HIDROLISIS ALCALINA DE BAJA TEMPERATURA.</t>
  </si>
  <si>
    <t>YAMID LEONARDO MAZO BONILLA</t>
  </si>
  <si>
    <t>G21F 9/28,_x000D_
G21F 9/32</t>
  </si>
  <si>
    <t>PROCESO MEJORADO DE EXTRACCIÓN Y PURIFICACIÓN DE CANNABINOIDES UTILIZANDO EXTRACCIÓN A CONTRACORRIENTE CON SOLVENTES BIODERIVADOS Y DESTILACIÓN REACTIVA SIMULTÁNEA PARA LA FABRICACIÓN DE INGREDIENTES FITOFARMACÉUTICOS DE CANNABIS</t>
  </si>
  <si>
    <t>Miguel Augusto Santaella Serrano</t>
  </si>
  <si>
    <t>JUAN PABLO  SANTAELLA MOGOLLON</t>
  </si>
  <si>
    <t>B01D 3/00,_x000D_
B01D 11/00,_x000D_
B01D 11/02,_x000D_
B01D 11/04,_x000D_
B01D 21/00,_x000D_
B01D 53/14</t>
  </si>
  <si>
    <t>BASTÓN SATELITAL PARA INVIDENTES CON MEDIO TACTIL ALÁRMICO</t>
  </si>
  <si>
    <t>Rosita Brilly  Ángel Reitsch</t>
  </si>
  <si>
    <t>A45B 3/00,_x000D_
G08B 13/24,_x000D_
G08B 21/02,_x000D_
G08B 21/24,_x000D_
G08B 26/00,_x000D_
A61H 3/06</t>
  </si>
  <si>
    <t>SISTEMA DE EMPAQUES ANULARES PARA PRENSAESTOPAS PARA POZOS</t>
  </si>
  <si>
    <t>E21B 33/129,_x000D_
E21B 43/20,_x000D_
E21B 12/00,_x000D_
E21B 33/03,_x000D_
E21B 33/12,_x000D_
E21B 33/126</t>
  </si>
  <si>
    <t>SANITARIO ECOLOGICO CON ATMOSFERA NEGATIVA Y VACIO DE BAJO CONSUMO DE AGUA CON Y SIN DISPENSADOR DE CHORRO DE AGUA PARA ASEO PERSONAL PARA CONSTRUCCIONES AUTOSOSTENIBLES Y SUSTENTABLES</t>
  </si>
  <si>
    <t>PABLO POCH FIGUEROA</t>
  </si>
  <si>
    <t>E03D 5/014,_x000D_
E03D 11/14,_x000D_
E03D 11/00,_x000D_
E03D 5/00,_x000D_
E03D 5/012</t>
  </si>
  <si>
    <t>ASPERSOR DE MOCHILA CON MECANISMO DE FUELLE</t>
  </si>
  <si>
    <t>ALIDA MARIA  FLEURY BELLANDI</t>
  </si>
  <si>
    <t>A01M 9/00,_x000D_
A01G 25/14,_x000D_
B05B 3/00</t>
  </si>
  <si>
    <t>SILLA DE SOL CON SISTEMA DE ASPERSION Y POSICIONAMIENTO VARIABLE</t>
  </si>
  <si>
    <t>ANA MARÍA RENGIFO LÓPEZ,_x000D_
juan carlos rengifo lopez</t>
  </si>
  <si>
    <t>JUAN DAVID BURITICA MORA</t>
  </si>
  <si>
    <t>A47C 3/025,_x000D_
A47C 7/72,_x000D_
B60N 2/10,_x000D_
A47C 1/024,_x000D_
A47C 1/025,_x000D_
A47C 1/14,_x000D_
A47C 3/02,_x000D_
A47C 3/027,_x000D_
A47D 13/10</t>
  </si>
  <si>
    <t>BOTÓN DE TIMBRE INALÁMBRICO AUTOALIMENTADO PARA VEHÍCULOS DE TRANSPORTE DE PASAJEROS</t>
  </si>
  <si>
    <t>PAULO FABIANO GATELLI</t>
  </si>
  <si>
    <t>H01H 13/52</t>
  </si>
  <si>
    <t>SISTEMA MODULAR DE AHORRO ENERGÉTICO PARA REFRIGERACIÓN MEDIANTE LA INTEGRACIÓN DE REFRIGERACIÓN ACTIVA Y PASIVA</t>
  </si>
  <si>
    <t>ISABEL PULIDO,_x000D_
Helmer Ricardo Cogua Barrera,_x000D_
Diana Paola Camacho Sarmiento</t>
  </si>
  <si>
    <t>F25D 3/00,_x000D_
F28D 20/02,_x000D_
F25D 31/00,_x000D_
B01L 1/02,_x000D_
B01L 7/00,_x000D_
C12M 1/00,_x000D_
F24F 5/00</t>
  </si>
  <si>
    <t xml:space="preserve">SISTEMA Y MÉTODO AUTOMATIZADO PARA TAMIZAR MUESTRAS DE SUELOS </t>
  </si>
  <si>
    <t>MARIO ARBULÚ SAAVEDRA,_x000D_
David  Saavedra Mora,_x000D_
LISED GUACA CRUZ,_x000D_
DANIEL ANDRES URREGO ARDILA,_x000D_
EMILIANO GUANIPA GARCIA</t>
  </si>
  <si>
    <t>B07B 1/00,_x000D_
B07B 1/15,_x000D_
B07B 1/46</t>
  </si>
  <si>
    <t>DISPOSITIVO DE AGARRE SUB-ACTUADO DE POSICIONES AJUSTABLES PARA PRÓTESIS MIOELÉCTRICAS</t>
  </si>
  <si>
    <t>Sofía Catalina Henao Aguirre,_x000D_
Simon Cuartas Escobar,_x000D_
Daniel Escobar Saltarén,_x000D_
Ana María Posada Borrero,_x000D_
Maria Bernarda  Salazar Sánchez,_x000D_
Estefanía Aramburo Villa,_x000D_
Jorge Alberto Robledo Ramírez,_x000D_
Sara Salazar Salgado,_x000D_
Luz Ángela Calderón Calderón,_x000D_
Juan Carlos Parra Peláez</t>
  </si>
  <si>
    <t>JOSE ANDRES RINCON USCATEGUI</t>
  </si>
  <si>
    <t>A01K 83/04,_x000D_
A61C 13/28,_x000D_
A61F 2/78</t>
  </si>
  <si>
    <t>SISTEMA Y MÉTODO PARA LA ESTIMACIÓN Y GESTIÓN DE INCERTIDUMBRE EN RESULTADOS DE ANÁLISIS DE LABORATORIO</t>
  </si>
  <si>
    <t>Frank David  Gómez Pinto,_x000D_
Fernando  Jaimes Carreño</t>
  </si>
  <si>
    <t>G06F 17/15,_x000D_
G06F 11/34,_x000D_
G06F 17/18,_x000D_
G06F 17/40</t>
  </si>
  <si>
    <t xml:space="preserve">MAQUINA Y PROCESO PARA RASURADO DE PIEL ANIMAL </t>
  </si>
  <si>
    <t>OLGA PRAXCEDIS PRIETO MARIN</t>
  </si>
  <si>
    <t>C14B 1/18,_x000D_
C14B 17/06,_x000D_
C14B 5/00,_x000D_
C14B 17/00,_x000D_
C14B 17/04,_x000D_
C14B 1/28,_x000D_
C14B 1/00,_x000D_
C14B 15/06,_x000D_
C14B 1/40</t>
  </si>
  <si>
    <t>ASADOR PLEGABLE Y TRANSPORTABLE.</t>
  </si>
  <si>
    <t xml:space="preserve">DANIEL JACOBO  URREGO ECHEVERRI </t>
  </si>
  <si>
    <t>Nicolas Duque Martínez</t>
  </si>
  <si>
    <t>A47J 37/00</t>
  </si>
  <si>
    <t>ANILLO DE FIJACIÓN DE RODAMIENTO PARA MÁQUINAS ROTATIVAS ELÉCTRICAS Y MÁQUINA ROTATIVA ELÉCTRICA</t>
  </si>
  <si>
    <t>JONATAS FRAGA ROCHA,_x000D_
VANDO VANDERLEI ADAMI</t>
  </si>
  <si>
    <t>H02K 5/124,_x000D_
H02K 5/18</t>
  </si>
  <si>
    <t>EMULSIÓN EN AGUA QUE CONTIENE ABAMECTINA Y FOSTIAZATO Y MÉTODO DE PREPARACIÓN DE LA MISMA</t>
  </si>
  <si>
    <t>Zhiqing LI,_x000D_
Jianwei WANG,_x000D_
Baochen ZHAO,_x000D_
Dong Li</t>
  </si>
  <si>
    <t>A61K 8/06,_x000D_
A61K 9/00,_x000D_
A61K 31/00,_x000D_
A61K 39/00</t>
  </si>
  <si>
    <t>TEXTIL ELECTRÓNICO</t>
  </si>
  <si>
    <t>MARIA CLARA RESTREPO RESTREPO,_x000D_
José Valentín Antonio  Restrepo Laverde,_x000D_
Cristina Isabel  Castro Herazo ,_x000D_
Jairo José  Pérez García,_x000D_
Juan Camilo  Palacio Valderrama</t>
  </si>
  <si>
    <t>H03K 17/00,_x000D_
G06F 13/00</t>
  </si>
  <si>
    <t>APARATO Y MÉTODO PARA REGISTRAR UNA UBICACIÓN DE ALMACENAMIENTO POR TAMAÑO PARA TUBÉRCULOS COSECHADOS</t>
  </si>
  <si>
    <t>Ighodaro  Emwinghare ,_x000D_
Colton  Campbell ,_x000D_
Ahmad Ali FALAH AL-MALLAHI</t>
  </si>
  <si>
    <t>G06T 7/30,_x000D_
G06T 1/00,_x000D_
G06T 1/60</t>
  </si>
  <si>
    <t>INSTALACIÓN CIVIL PARA EL MEJORAMIENTO DEL SISTEMA DE IMPERMEABILIZACIÓN EN PLACAS DE CONCRETO EN CONTACTO CON TUBERÍAS Y EL MÉTODO DE CONSTRUCCIÓN DE DICHA INSTALACIÓN CIVIL</t>
  </si>
  <si>
    <t>DIANA MARYORI GUEVARA LOZADA,_x000D_
CRISTIAN ALEXANDER GUEVARA CADAVID</t>
  </si>
  <si>
    <t>LUIS EDUARDO QUINTERO VARGAS</t>
  </si>
  <si>
    <t>F16L 1/038,_x000D_
F16L 58/16,_x000D_
F16L 33/22,_x000D_
F16L 11/04,_x000D_
F16L 41/10,_x000D_
F16L 55/053</t>
  </si>
  <si>
    <t>SISTEMA INTEGRAL DE SEGURIDAD, VIGILANCIA Y ENTREGA AÉREA BASADA EN DRONES CON SENSORES INTELIGENTES DE RESPUESTA ADAPTATIVA</t>
  </si>
  <si>
    <t>Eder Vargas Puerto</t>
  </si>
  <si>
    <t>B03C 3/04,_x000D_
B03C 3/41,_x000D_
B03C 3/47,_x000D_
B03C 3/66,_x000D_
B64C 39/02,_x000D_
B64D 27/24,_x000D_
B64D 47/00,_x000D_
G06T 7/90</t>
  </si>
  <si>
    <t>PREPARACIÓN IN SITU DE UN NANOCOMPOSITO DE PUNTOS CUÁNTICOS SENSIBLE A METALES PESADOS Y DISPOSITIVO PORTÁTIL PARA LA DETERMINACIÓN DE METALES PESADOS QUE COMPRENDE DICHO NANOCOMPOSITO</t>
  </si>
  <si>
    <t>Daniel Alexander  Velazco Capacho,_x000D_
CRISTIAN BLANCO TIRADO,_x000D_
CARLOS LIZARDO CORZO RUIZ,_x000D_
Jhonny Mauricio Ceron Cifuentes,_x000D_
MARIANNY YAJAIRA  COMBARIZA,_x000D_
DANIEL ALFONSO  AMAYA GARCÍA,_x000D_
RAFAEL AUGUSTO  NÚÑEZ RODRÍGUEZ,_x000D_
CRISTHIAM JESID  GUTIÉRREZ LOZANO,_x000D_
CARLOS IVÁN NOVA PINZÓN</t>
  </si>
  <si>
    <t>G06F 3/00,_x000D_
C09K 11/00,_x000D_
C12Q 1/6841</t>
  </si>
  <si>
    <t>KIT DE CONEXIÓN DE BARRAS DE SECCIÓN CILÍNDRICA PARA LA CONSTRUCCIÓN DE ESTRUCTURAS RETICULADAS</t>
  </si>
  <si>
    <t>MANUEL FERNANDO  MARTÍNEZ FORERO</t>
  </si>
  <si>
    <t>EDWIN CICERY VEGA</t>
  </si>
  <si>
    <t>E04B 1/58,_x000D_
E04C 2/16,_x000D_
E04C 3/12,_x000D_
F16B 7/04,_x000D_
E04B 1/26,_x000D_
F16B 7/00,_x000D_
F16B 7/18,_x000D_
F16C 11/04</t>
  </si>
  <si>
    <t xml:space="preserve">TANQUE DOBLE PARED DESMONTABLE DE BASE CUADRANGULAR </t>
  </si>
  <si>
    <t>DANIEL SANTIAGO BETANCOURT HUERFANO</t>
  </si>
  <si>
    <t>B29C 44/34</t>
  </si>
  <si>
    <t>SISTEMA DE ALCALINIZACIÓN POR ELECTROQUÍMICA PARA REMOCIÓN DE CATIONES DUROS POR MINERALIZACIÓN DE CO2 DE AGUAS DE LA INDUSTRIA DE PETRÓLEO Y GAS</t>
  </si>
  <si>
    <t>JOSÉ ARISTÓBULO SARMIENTO CHAPARRO,_x000D_
GLORIA ISABEL DUARTE POVEDA,_x000D_
EDGAR FERNANDO CASTILLO MONROY	,_x000D_
Dalje Sunith BARBOSA TRILLOS,_x000D_
DANIEL ALEJANDRO PATROUILLEAU QUINTANA,_x000D_
Carlos Alberto Echeverry Gonzalez,_x000D_
CAMILO ENRIQUE LA ROTTA HERNANDEZ</t>
  </si>
  <si>
    <t>C02F 1/00,_x000D_
C02F 1/28,_x000D_
C02F 1/46,_x000D_
C02F 1/461,_x000D_
C02F 9/00</t>
  </si>
  <si>
    <t>MÉTODO ELECTROQUÍMICO DE REMOCIÓN DE CATIONES DUROS ACOPLADO A DESCARBONIZACIÓN, CON APLICACIÓN AL SUAVIZADO DE AGUAS DE INYECCIÓN EN LA INDUSTRIA DE PETRÓLEO Y GAS NATURAL</t>
  </si>
  <si>
    <t>DANIEL ALEJANDRO PATROUILLEAU QUINTANA,_x000D_
Carlos Alberto Echeverry Gonzalez,_x000D_
CAMILO ENRIQUE LA ROTTA HERNANDEZ</t>
  </si>
  <si>
    <t>C23G 5/00</t>
  </si>
  <si>
    <t>MÉTODO DE PRODUCCIÓN DE BIOCERA CON ALTO CONTENIDO DE ÉSTERES CEROSOS</t>
  </si>
  <si>
    <t>LAURA LILIANA GARZÓN FUENTES,_x000D_
Giovanny Arnulfo  Olarte Suarez	,_x000D_
ANDRES FERNANDO RAMIREZ QUINTERO,_x000D_
DEBORA ALCIDA NABARLATZ,_x000D_
JULY CAROLINA VIVAS BAEZ,_x000D_
Luis Javier  LÓPEZ GIRALDO</t>
  </si>
  <si>
    <t>C10G 3/00,_x000D_
C10G 45/58,_x000D_
C07C 1/00</t>
  </si>
  <si>
    <t>MARCO DE TRANSICIÓN DE BARRERA</t>
  </si>
  <si>
    <t>Benjamin Fraser Powell,_x000D_
William Price Longstreet,_x000D_
Dean Clinton Alberson</t>
  </si>
  <si>
    <t>E01F 9/669,_x000D_
E01F 13/00,_x000D_
E01F 13/10,_x000D_
E01F 15/00,_x000D_
E01F 15/02</t>
  </si>
  <si>
    <t>SISTEMA DE PREPARACIÓN Y FILTRADO DE INFUSIONES QUE COMPRENDE UN MÓDULO CONTENEDOR Y UN MÓDULO DE FILTRADO Y CIERRE INTEGRADOS</t>
  </si>
  <si>
    <t>LUIS FERNANDO VELEZ ZULUAGA,_x000D_
HUGO ANDRES LOPEZ ,_x000D_
VICENTE DE JESÚS FRANCO BAYONA</t>
  </si>
  <si>
    <t xml:space="preserve">HUGO ANDRES LOPEZ </t>
  </si>
  <si>
    <t>A47G 19/14,_x000D_
A23L 2/00,_x000D_
A47J 31/06,_x000D_
A47J 31/42,_x000D_
A47J 31/44</t>
  </si>
  <si>
    <t>SNACKS DE FRUTA LIOFILIZADA Y PROCESO DE FABRICACIÓN</t>
  </si>
  <si>
    <t>Juan Pablo Ortiz Rosas,_x000D_
Juan Carlos Quitian Romero,_x000D_
ALBA LORENA  BENAVIDES SIERRA</t>
  </si>
  <si>
    <t>A23L 35/00,_x000D_
A23L 27/12,_x000D_
A23L 19/00</t>
  </si>
  <si>
    <t>DISPOSITIVO DE TRATAMIENTO Y RECIRCULACION DE AGUA EN SANITARIOS Y SU METODO DE CONTROL</t>
  </si>
  <si>
    <t>ethan steven ramirez betancur</t>
  </si>
  <si>
    <t>C02F 1/00,_x000D_
C02F 3/00,_x000D_
C02F 1/28,_x000D_
C02F 3/34</t>
  </si>
  <si>
    <t>HERRAMIENTA DE CORTE DE EMERGENCIA DE CABLE ESP APLICABLE EN EXTRACCIÓN DE HIDROCARBUROS POR MEDIO DE BOMBEO ELECTRO SUMERGIBLE</t>
  </si>
  <si>
    <t xml:space="preserve">Julian David  Saavedra Lozano </t>
  </si>
  <si>
    <t>E21B 7/15,_x000D_
E21B 43/112,_x000D_
E21B 43/00,_x000D_
E21B 15/02,_x000D_
E21B 19/09,_x000D_
E21B 3/02</t>
  </si>
  <si>
    <t>SISTEMA DE ASISTENCIA PARA LA CONDUCCIÓN Y MONITOREO ESPACIAL DEL ENTORNO PARA VEHÍCULO</t>
  </si>
  <si>
    <t>PEDRO JULIÁN  GARCÍA GUARÍN ,_x000D_
José Antonio BORRAEZ CASTRO,_x000D_
Juan Diego MÉNDEZ TACHE,_x000D_
Rossemberg ESPINEL,_x000D_
Andrés Camilo RODRÍGUEZ ROBERTO,_x000D_
Ana María VIRVIESCAS PÉREZ,_x000D_
Michael Andrés CACAIS MANRIQUE</t>
  </si>
  <si>
    <t>B60W 50/00,_x000D_
B60W 30/08,_x000D_
H04M 1/725,_x000D_
H04W 48/04,_x000D_
H04L 12/40</t>
  </si>
  <si>
    <t>DISPOSITIVO PARA EL APRENDIZAJE DEL SISTEMA BRAILLE MEDIANTE EL USO DE ONDAS DE ULTRASONIDO</t>
  </si>
  <si>
    <t>Juan Esteban MERCHÁN BALAGUERA,_x000D_
Álvaro FERNÁNDEZ ACEVEDO</t>
  </si>
  <si>
    <t>G06F 3/01,_x000D_
G06T 7/40,_x000D_
G06T 19/00,_x000D_
G06F 3/042</t>
  </si>
  <si>
    <t xml:space="preserve">INFILTROMETRO DE FLOTADOR EN SATURACIÓN </t>
  </si>
  <si>
    <t>Cristian Angarita Parra</t>
  </si>
  <si>
    <t>E02B 11/00,_x000D_
G01N 15/08,_x000D_
G01N 33/24</t>
  </si>
  <si>
    <t>DISPOSITIVO DE CONTROL DE CONDICIONES Y PARAMETROS EN UNA INCUBADORA POR MEDIO DE COMUNICACIÓN INALAMBRICA</t>
  </si>
  <si>
    <t>PEDRO ANTONIO AYA PARRA,_x000D_
JEFFERSON STEVEN SARMIENTO ROJAS,_x000D_
Viviana Rodriguez Torres,_x000D_
Nidia Patricia Córdoba Hernández</t>
  </si>
  <si>
    <t>G05B 19/048,_x000D_
G05D 23/20,_x000D_
A61G 11/00,_x000D_
G01D 21/02</t>
  </si>
  <si>
    <t>SISTEMA INCINERADOR DE DESECHOS CON TRATAMIENTO DE GASES RESIDUALES PARA ELIMINACIÓN DE DIÓXIDO DE CARBONO</t>
  </si>
  <si>
    <t>LUIS ANGEL CASTRILLON ARDILA</t>
  </si>
  <si>
    <t>FERNANDO TRIANA SOTO</t>
  </si>
  <si>
    <t>B01D 46/34,_x000D_
B01D 46/50,_x000D_
B01D 47/04</t>
  </si>
  <si>
    <t>MUEBLE TRANSPORTABLE RECOLECTOR DE BOTELLAS</t>
  </si>
  <si>
    <t>MARIO ERNESTO PEREZ GUTIERREZ</t>
  </si>
  <si>
    <t>B65D 77/12,_x000D_
B65D 90/00,_x000D_
B65D 88/60,_x000D_
B65D 88/12,_x000D_
B65D 5/496</t>
  </si>
  <si>
    <t xml:space="preserve">DISPOSITIVO DE EXTRACCIÓN DE AIRE EN CONTENEDORES  </t>
  </si>
  <si>
    <t>21-06-. 2024</t>
  </si>
  <si>
    <t>ELIZABETH RENDON VELEZ,_x000D_
DAVID  RIOS ZAPATA,_x000D_
Paola Andrea Vallejo Correa,_x000D_
Santiago Ruiz Arenas</t>
  </si>
  <si>
    <t>MARIA PAULA PÉREZ GÓMEZ</t>
  </si>
  <si>
    <t>B65F 1/06,_x000D_
B65F 1/08,_x000D_
B65D 25/14</t>
  </si>
  <si>
    <t>BIOESTIMULANTE VEGETAL A BASE DE CONCENTRADO DE MUCÍLAGO DE CAFÉ</t>
  </si>
  <si>
    <t>21-12-. 2023</t>
  </si>
  <si>
    <t>ANDRES RAMIREZ VELEZ,_x000D_
JUAN CARLOS JARAMILLO LOPEZ</t>
  </si>
  <si>
    <t>Andrés  Córdoba</t>
  </si>
  <si>
    <t>A23F 5/00,_x000D_
A23F 5/02,_x000D_
A23F 5/10,_x000D_
A23F 5/24,_x000D_
A23F 5/46</t>
  </si>
  <si>
    <t>APARATO PARA LA PRODUCCIÓN DE FILAMENTOS</t>
  </si>
  <si>
    <t>19-12-. 2023</t>
  </si>
  <si>
    <t>Stephan Gerharz</t>
  </si>
  <si>
    <t>ADRIANA PAOLA PEÑARANDA URBINA</t>
  </si>
  <si>
    <t>B29C 48/30,_x000D_
D01D 4/02,_x000D_
D01D 4/06,_x000D_
D01D 1/00,_x000D_
D01D 5/00</t>
  </si>
  <si>
    <t>COMPOSICIÓN FARMACÉUTICA SINÉRGICA Y ESTABLE DE UN AINE Y UN ANALGÉSICO OPIOIDE PARA EL DOLOR E INFLAMACIÓN</t>
  </si>
  <si>
    <t>23-12-. 2024</t>
  </si>
  <si>
    <t>Jorge Alejandro GONZÁLEZ CANUDAS,_x000D_
Cecilia Jannette MUÑOZ MARTINEZ,_x000D_
Marco Antonio ESPINOSA OLIVARES,_x000D_
Paola Yazmín OLLERVIDES RUBIO,_x000D_
José Guillermo SANDER PADILLA</t>
  </si>
  <si>
    <t>A61K 9/00,_x000D_
A61K 9/14,_x000D_
A61K 9/20,_x000D_
A61K 9/48,_x000D_
A61K 31/135,_x000D_
A61K 31/137,_x000D_
A61K 31/444</t>
  </si>
  <si>
    <t>MÉTODO PARA PRODUCIR METABOLITOS PROTEICOS PEGILADOS CON ACTIVIDAD ANTIVIRAL,  ANTIBACTERIANA Y REPARADORA DE LA ESTRUCTURA INTESTINAL, A PARTIR DE UN CULTIVO BACTERIANO DE BIFIDOBACTERIUM ADOLESCENTIS</t>
  </si>
  <si>
    <t>20-12-. 2024</t>
  </si>
  <si>
    <t>María José  Hernández Zuluaga ,_x000D_
María Belén  Cabrera Castro,_x000D_
Nury Nathalia  Olaya Galán,_x000D_
Geimnir Yazmin  Lopez Rozo,_x000D_
Sandra Patricia  Salas Cárdenas,_x000D_
Karem Prunella  Fernandez Duarte,_x000D_
Balkys Esmeralda  Quevedo Hidalgo,_x000D_
Juan Carlos  Ulloa Rubiano</t>
  </si>
  <si>
    <t>C12N 1/00,_x000D_
C12N 1/20,_x000D_
C12N 15/00,_x000D_
C12N 9/00,_x000D_
C12N 5/00</t>
  </si>
  <si>
    <t>PROTEÍNA HÍBRIDA PARA EL DIAGNÓSTICO MOLECULAR DE ALERGIA INDUCIDA POR ÁCAROS DOMÉSTICOS</t>
  </si>
  <si>
    <t>LUIS  CARABALLO,_x000D_
LEONARDO  PUERTA LLERENA,_x000D_
DALGYS  MARTÍNEZ DE LA OSSA</t>
  </si>
  <si>
    <t>C07K 14/435,_x000D_
A61K 39/35,_x000D_
C07K 5/00,_x000D_
A61K 35/38,_x000D_
A61K 39/00,_x000D_
A61K 39/39</t>
  </si>
  <si>
    <t>SISTEMA DE UN SEÑALIZADOR LUMINOSO PORTABLE CONTROLADO POR MEDIO DE DISTINTOS CONTROLES A TRAVÉS DE UN MÉTODO Y PROCEDIMIENTO PARA USUARIOS DE BICICLETA, MOTO, PATINETA ELÉCTRICA, SILLA DE RUEDAS O EN CUALQUIER OTRO MEDIO DE MOVILIDAD TERRESTRE QUE UTILICE</t>
  </si>
  <si>
    <t>26-05-. 2025</t>
  </si>
  <si>
    <t>Jonathan Alexander Nieves Suarez</t>
  </si>
  <si>
    <t>F21S 10/06,_x000D_
F21L 4/00,_x000D_
F21V 23/00,_x000D_
F21V 23/04,_x000D_
A41D 13/01,_x000D_
F21V 21/088,_x000D_
F21V 33/00,_x000D_
G07C 5/08,_x000D_
H04M 1/72454,_x000D_
H04M 1/72457,_x000D_
H04M 11/04</t>
  </si>
  <si>
    <t>COMPOSICIÓN DE MICROEMULSIÓN DE DINOTEFURAN, SU PROCESO DE PREPARACIÓN Y USO</t>
  </si>
  <si>
    <t>26-12-. 2023</t>
  </si>
  <si>
    <t>RAFAELA CRISTINA  FEITOSA CORSI ,_x000D_
Natália GONÇALVES,_x000D_
JOÃO PAULO  ALEIXO ,_x000D_
Felipe Augusto SOARES DA SILVA</t>
  </si>
  <si>
    <t>A01N 43/40,_x000D_
A01N 51/00,_x000D_
A01P 7/04</t>
  </si>
  <si>
    <t>UTENSILIO DE COCCIÓN PARA UN APARATO DE PREPARACIÓN DE ALIMENTOS</t>
  </si>
  <si>
    <t>09-05-. 2025</t>
  </si>
  <si>
    <t>Marie  DUSSART,_x000D_
Gautier FRADET,_x000D_
Johann PETITALLOT,_x000D_
Guillaume PRIETO,_x000D_
Frédéric SEURAT</t>
  </si>
  <si>
    <t>INES CONSUELO BENJUMEA RENDON</t>
  </si>
  <si>
    <t>A21B 2/00,_x000D_
A21B 5/00,_x000D_
A21B 5/02,_x000D_
A47J 27/00</t>
  </si>
  <si>
    <t>APARATO PARA LA PREPARACIÓN DE ALIMENTOS QUE COMPRENDE UNA CARCASA Y UN UTENSILIO DE COCCIÓN EXTRAÍBLE</t>
  </si>
  <si>
    <t>Bernard ALLEMAND,_x000D_
Marie  DUSSART,_x000D_
Gautier FRADET,_x000D_
Johann PETITALLOT,_x000D_
Guillaume PRIETO,_x000D_
Frédéric SEURAT</t>
  </si>
  <si>
    <t>A47J 36/12,_x000D_
A47J 31/44,_x000D_
A47J 43/07</t>
  </si>
  <si>
    <t>MÉTODO DE OBTENCIÓN DE DATOS DE PREDICCIÓN DE RIESGO DE ENFERMEDAD METABÓLICA</t>
  </si>
  <si>
    <t>18-12-. 2023</t>
  </si>
  <si>
    <t xml:space="preserve">Bernadette Francisca KLOTZ CEBERIO,_x000D_
Diana Harleidy  VARGAS TRUJILLO,_x000D_
Narmer Fernando  GALEANO VANEGAS </t>
  </si>
  <si>
    <t>G16B 40/20,_x000D_
G16B 50/10,_x000D_
G16H 20/60,_x000D_
G16H 50/20,_x000D_
H01L 27/32,_x000D_
G06F 1/00,_x000D_
G16H 50/30</t>
  </si>
  <si>
    <t>BEBIDA LÁCTEA FERMENTADA PARA EL RENDIMIENTO MENTAL Y MÉTODO DE OBTENCIÓN</t>
  </si>
  <si>
    <t>22-12-. 2023</t>
  </si>
  <si>
    <t>Bernadette Francisca KLOTZ CEBERIO,_x000D_
Mary Luz Cano Sepúlveda</t>
  </si>
  <si>
    <t>C12N 1/20,_x000D_
A23L 2/52,_x000D_
C12R 1/125</t>
  </si>
  <si>
    <t>PROCEDIMIENTO PARA LA PRODUCCIÓN DE POLIHIDROXIBUTIRATO (PHB) A PARTIR DE RESIDUOS DEL BENEFICIO DE CAFÉ</t>
  </si>
  <si>
    <t>24-12-. 2024</t>
  </si>
  <si>
    <t xml:space="preserve">HOWARD DIEGO  RAMÍREZ MALULE,_x000D_
DAVID ANDRÉS     GÓMEZ RÍOS    ,_x000D_
GUSTAVO ANDRÉS   SANJUAN VANEGAS,_x000D_
MARÍA CAMILA  LÓPEZ AGUDELO </t>
  </si>
  <si>
    <t>C12P 1/04,_x000D_
C12P 7/02,_x000D_
C12P 7/42</t>
  </si>
  <si>
    <t>PROCESO DE PURIFICACIÓN DE MACROMOLÉCULAS CON ETAPAS DE PRECIPITACIÓN SELECTIVA, CONCENTRACIÓN Y DIÁLISIS COMBINADAS EN CONDICIONES CONSTANTES DE ESTABILIDAD CON EL CUAL SE OBTIENEN FORMULACIONES ESTABLES Y DE ALTA PUREZA</t>
  </si>
  <si>
    <t>SERGIO ANDRÉS PULIDO MUÑOZ,_x000D_
LUIS RAFAEL DELGADO LEON,_x000D_
MARIA FERNANDA FLOREZ GONZALEZ,_x000D_
LINA MARIA ESCOBAR NARANJO,_x000D_
ALBA MELINA BECERRA GUEVARA,_x000D_
GUILLERMO JAVIER VILÁ ORTIZ,_x000D_
NATALIA GIL LEON,_x000D_
MARIO ANDRES BERRIO CASTAÑEDA</t>
  </si>
  <si>
    <t>MONICA MARCELA LOZANO GUZMAN</t>
  </si>
  <si>
    <t>B01D 11/02,_x000D_
B01D 11/04,_x000D_
B01D 17/02,_x000D_
B01D 17/04,_x000D_
B01D 21/00,_x000D_
B01D 53/00,_x000D_
B01D 53/14</t>
  </si>
  <si>
    <t>SISTEMA DE SEPARACIÓN DE COMPONENTES PLASMÁTICOS POR DESCONGELAMIENTO CONTROLADO MEDIANTE UNOS MECANISMOS INTEGRADOS DE TRANSFERENCIA TÉRMICA CONTROLADA Y SEDIMENTACIÓN ACELERADA EN UNOS MEDIOS CONTINUOS</t>
  </si>
  <si>
    <t>SERGIO ANDRÉS PULIDO MUÑOZ,_x000D_
LUIS RAFAEL DELGADO LEON,_x000D_
GUILLERMO JAVIER VILÁ ORTIZ</t>
  </si>
  <si>
    <t>A61B 5/00</t>
  </si>
  <si>
    <t>SISTEMA DE SEPARACIÓN ESPONTÁNEA Y/O INDUCIDA LÍQUIDO-LÍQUIDO PARA OBTENCIÓN DE SOLUCIONES ENRIQUECIDAS EN PROTEÍNAS TERMOESTABLES ACTIVAS</t>
  </si>
  <si>
    <t>SERGIO ANDRÉS PULIDO MUÑOZ,_x000D_
LUIS RAFAEL DELGADO LEON,_x000D_
MARIA FERNANDA FLOREZ GONZALEZ,_x000D_
LINA MARIA ESCOBAR NARANJO,_x000D_
ALBA MELINA BECERRA GUEVARA,_x000D_
GUILLERMO JAVIER VILÁ ORTIZ</t>
  </si>
  <si>
    <t>B01D 11/02,_x000D_
B01D 11/04,_x000D_
B01D 15/00,_x000D_
B01D 15/08,_x000D_
B01D 17/02,_x000D_
B01D 17/04,_x000D_
B01D 19/00,_x000D_
B01D 53/00,_x000D_
B01D 53/14</t>
  </si>
  <si>
    <t>ELECTROCOAGULACIÓN FRACCIONADA PARA TRATAR AGUAS RESIDUALES Y PRODUCIR LODOS CON ALTO CONTENIDO DE MATERIA ORGÁNICA</t>
  </si>
  <si>
    <t>JUAN JOSE LOZADA CASTRO</t>
  </si>
  <si>
    <t>C02F 1/463,_x000D_
C02F 11/16,_x000D_
C02F 11/04,_x000D_
C02F 11/00,_x000D_
C02F 9/00,_x000D_
C02F 3/00,_x000D_
C02F 3/16,_x000D_
C02F 3/30</t>
  </si>
  <si>
    <t>GRANADA AEREA DE DESPLIEGUE CONTROLADO</t>
  </si>
  <si>
    <t>Julián Ándres Pérez Tejedor</t>
  </si>
  <si>
    <t>F41H 11/02,_x000D_
F42B 12/60</t>
  </si>
  <si>
    <t>BOLSA DE PLÁSTICO</t>
  </si>
  <si>
    <t>Georg DONNER,_x000D_
Marcel HORNBERG</t>
  </si>
  <si>
    <t>SILVIA PATIÑO RODRIGUEZ</t>
  </si>
  <si>
    <t>B65D 33/08,_x000D_
B65D 33/10,_x000D_
B65D 33/28,_x000D_
A45C 3/06</t>
  </si>
  <si>
    <t>CHALECO DE EJERCICIO MULTIFUNCIONAL PARA EL FORTALECIMIENTO MUSCULAR Y LA CORRECCIÓN DE POSTURA</t>
  </si>
  <si>
    <t xml:space="preserve">Federico Restrepo Cucalón </t>
  </si>
  <si>
    <t>ANDRES FELIPE RAHN NIETO</t>
  </si>
  <si>
    <t>A63B 21/00,_x000D_
A63B 21/02,_x000D_
A63B 21/055,_x000D_
A63B 21/06,_x000D_
A63B 22/08,_x000D_
A63B 69/00</t>
  </si>
  <si>
    <t>ANDAMIOS FLEXIBLES DE POLICAPROLACTONA/NANOTUBOS DE CARBONO PARA RECUPERACIÓN DE LA FUNCIÓN CONTRÁCTIL DEL MÚSCULO ESTRIADO</t>
  </si>
  <si>
    <t>JOSÉ OSCAR GUTIÉRREZ MONTES,_x000D_
MARIO JOSÉ CORREA QUICENO,_x000D_
PAOLA ANDREA NEUTA ARCINIEGAS,_x000D_
ADALBERTO SÁNCHEZ GÓMEZ,_x000D_
JOSÉ  PEÑARANDA ARMBRECHT,_x000D_
JULIO CESAR  CAICEDO ANGULO</t>
  </si>
  <si>
    <t>G01N 33/554,_x000D_
G01N 33/00,_x000D_
C01B 32/158</t>
  </si>
  <si>
    <t>SISTEMA DE GENERACIÓN DE BURBUJAS INMERSO EN TANQUE DE PROCESAMIENTO DE LIQUIDOS Y REMOCIÓN DE SOLIDOS SEDIMENTABLES</t>
  </si>
  <si>
    <t>CARLOS ANDRES DIAZ PRADA,_x000D_
FLAMINIO GUARIN ARENAS,_x000D_
CARLOS ANDRES CARDONA ROMERO,_x000D_
Natalia Prieto jimenez</t>
  </si>
  <si>
    <t>C10G 1/00,_x000D_
C10G 2/00,_x000D_
C10G 17/00,_x000D_
C02F 1/00,_x000D_
C02F 3/00,_x000D_
C02F 9/00</t>
  </si>
  <si>
    <t>CANASTA DE ENVÍO Y/O RECOLECCIÓN DE SÓLIDOS DE DIFERENTES FORMAS Y GEOMETRÍAS EN TRAMPAS DE RASPADORES</t>
  </si>
  <si>
    <t>OSCAR SANDY NEIRA LOPEZ,_x000D_
EDWIN ENRIQUE GUTIERREZ FUENTES,_x000D_
CHRISTIAM ANTONIO MERCADO GARCÍA,_x000D_
CLAUDIA INÉS PÉREZ MORALES</t>
  </si>
  <si>
    <t>B08B 9/04,_x000D_
F16L 55/28,_x000D_
C09K 8/42,_x000D_
C09K 8/60,_x000D_
E21B 33/16,_x000D_
B01J 13/00</t>
  </si>
  <si>
    <t>TECNOLOGIA TUCANO-UNIDAD DE FILTRACION CON MEMBRANAS OLEOFILICAS SELECTIVAS</t>
  </si>
  <si>
    <t>JUAN DAVID MONROY AVILA,_x000D_
RAUL LEONARDO TRIANA ALONSO,_x000D_
Jose Luis Gomez Vergel,_x000D_
Luis Carlos FONSECA HERREÑO,_x000D_
Juan Sebastian RAMIREZ PRADILLA,_x000D_
Gerardo Moya Avendaño,_x000D_
YHITZAK SHAMIR VÁSQUEZ REYES,_x000D_
Jenny Fabiana Solano Martinez,_x000D_
Wilfredo de Jesús Sanchez Fuentes,_x000D_
Fabian Eulises Mogollon Moreno,_x000D_
Alberto Antonio Diaz Camacho,_x000D_
Alvaro David Vergara Polo,_x000D_
Edwar Enrique Ochoa Macea,_x000D_
Mauricio Montenegro Martinez,_x000D_
IRINA DEL PILAR BERNAL CASTRO</t>
  </si>
  <si>
    <t>B01D 27/08,_x000D_
B01D 29/15,_x000D_
B01D 29/50,_x000D_
B01D 29/52,_x000D_
B01D 29/96,_x000D_
B01D 35/30,_x000D_
B01D 46/00,_x000D_
B01D 46/24</t>
  </si>
  <si>
    <t xml:space="preserve">PROCESO DE GENERACIÓN DE VAPOR EN SUBSUELO MEDIANTE LA INYECCIÓN DE NEBLINA PARA RECOBRO DE CRUDO PESADO </t>
  </si>
  <si>
    <t>HECTOR ARNOLDO RODRIGUEZ PRADA,_x000D_
LUIS EDUARDO  GARCIA RODRIGUEZ ,_x000D_
Romel Antonio Perez Romero,_x000D_
Javier Enrique Guerrero</t>
  </si>
  <si>
    <t>E21B 36/00,_x000D_
E21B 43/00,_x000D_
E21B 43/12,_x000D_
E21B 43/16,_x000D_
E21B 43/22,_x000D_
E21B 43/24,_x000D_
E21B 43/243</t>
  </si>
  <si>
    <t>MATERIALES NANO PARTICULADOS MULTITEMÁTICOS: MÉTODOS DE OBTENCIÓN Y FORMULACIÓN DEL CONTENIDO ELEMENTAL METÁLICO PARA SU APLICACIÓN COMO NANO FERTILIZANTES</t>
  </si>
  <si>
    <t>RODRIGO GONZALO TORRES SAÉZ,_x000D_
Cesar Armando CACERES MANTILLA,_x000D_
Juan Sebastian RAMIREZ PRADILLA,_x000D_
Ivan Felipe Valdivieso Niño,_x000D_
Juan Pablo  Arenas Diaz</t>
  </si>
  <si>
    <t>C01B 33/06,_x000D_
C01G 23/00,_x000D_
C01G 49/00,_x000D_
C01G 51/00,_x000D_
C01G 53/00,_x000D_
C01G 55/00,_x000D_
C25B 1/00,_x000D_
C25B 1/04,_x000D_
C25B 11/04,_x000D_
B01J 23/40,_x000D_
B01J 23/42</t>
  </si>
  <si>
    <t xml:space="preserve">SÍNTESIS DE UNA RESINA DE INTERCAMBIO ANIÓNICA  </t>
  </si>
  <si>
    <t>José Manuel,  USURIAGA TORRES,_x000D_
CESAR ARMANDO CÁCERES MANTILLA,_x000D_
DANIEL ALEJANDRO PATROUILLEAU QUINTANA,_x000D_
Diego Rolando Merchan Arenas,_x000D_
Johan Ernesto Gallo Gualdrón</t>
  </si>
  <si>
    <t>B01J 20/00,_x000D_
B01D 5/00,_x000D_
B01D 11/02,_x000D_
B01D 11/04,_x000D_
B01D 15/00,_x000D_
B01D 17/02,_x000D_
B01D 17/04,_x000D_
B01D 21/00,_x000D_
B01D 53/02,_x000D_
B01D 53/14,_x000D_
B01D 53/34</t>
  </si>
  <si>
    <t xml:space="preserve">SISTEMA DE MEDICIÓN DE CORROSIÓN E INCRUSTACIÓN EN FONDO DE POZOS INYECTORES </t>
  </si>
  <si>
    <t>Jose Constain SASTOKE MORENO,_x000D_
Jose Adalberto CARRASCAL LOPEZ,_x000D_
MARLY FABIOLA PARRA ERAZO,_x000D_
Jose David Ibañez Sehuanes,_x000D_
EDGAR EDUARDO MAFIOL VASQUEZ</t>
  </si>
  <si>
    <t>E21B 41/02,_x000D_
E21B 47/00,_x000D_
G01N 17/04,_x000D_
E21B 47/08,_x000D_
E21B 47/10,_x000D_
E21B 47/12,_x000D_
G01V 3/30</t>
  </si>
  <si>
    <t>SISTEMA AUTOMATIZADO DE HIDRATACIÓN DE TALLOS DE PLANTAS</t>
  </si>
  <si>
    <t>EDILSON ALEJANDRO OROZCO CASTAÑEDA,_x000D_
JUAN PABLO RUIZ ZULUAGA,_x000D_
ANYELO ALEJANDRO GIRALDO OSPITIA,_x000D_
JHON FREDY HINCAPIE ECHEVERRI,_x000D_
JEISON DANIEL ECHEVERRI LOPEZ</t>
  </si>
  <si>
    <t>EDILSON ALEJANDRO OROZCO CASTAÑEDA</t>
  </si>
  <si>
    <t>A01D 37/04,_x000D_
A01D 57/22,_x000D_
A01D 37/00</t>
  </si>
  <si>
    <t>PROCESO PARA LA ELABORACIÓN DE COLÁGENO  MARINO  A BASE DE  ESCAMAS DE PESCADO EN PRESENTACION DE GEL Y DE POLVO.</t>
  </si>
  <si>
    <t>CARMEN ELENA AUZ AAGUIRRE</t>
  </si>
  <si>
    <t>A23J 1/04,_x000D_
A23J 1/10,_x000D_
A23J 3/06,_x000D_
A23L 17/00,_x000D_
C09H 3/00,_x000D_
A61K 8/18,_x000D_
A61K 8/65</t>
  </si>
  <si>
    <t>UsuarioId</t>
  </si>
  <si>
    <t>Solicitante</t>
  </si>
  <si>
    <t>WAGU S.A.S</t>
  </si>
  <si>
    <t>LANDERS Y CIA. S.A.S.</t>
  </si>
  <si>
    <t>UNIVERSIDAD DE LA SABANA</t>
  </si>
  <si>
    <t>UNIVERSIDAD DE MEDELLIN</t>
  </si>
  <si>
    <t>Softys S.A</t>
  </si>
  <si>
    <t>SERIES INTERNATIONAL LLC</t>
  </si>
  <si>
    <t>SERVICIO NACIONAL DE APRENDIZAJE SENA</t>
  </si>
  <si>
    <t>TECSA S3 S.A.S</t>
  </si>
  <si>
    <t>CORPORACIÓN UNIVERSITARIA DE SANTA ROSA DE CABAL UNISARC</t>
  </si>
  <si>
    <t xml:space="preserve">SOCIAL RAEE SAS </t>
  </si>
  <si>
    <t>EVEREST PRINTED SOLUTIONS SAS</t>
  </si>
  <si>
    <t>EDEMCO SAS</t>
  </si>
  <si>
    <t>QINGDAO RAINBOW CHEMICAL CO., LTD.</t>
  </si>
  <si>
    <t>PARTES Y COMPLEMENTOS PLÁSTICOS S.A.S.</t>
  </si>
  <si>
    <t>UNIVERSIDAD MARIANA</t>
  </si>
  <si>
    <t>CORPORACIÓN COLOMBIANA DE INVESTIGACIÓN AGROPECUARIA - AGROSAVIA,_x000D_
VISUALITI SAS</t>
  </si>
  <si>
    <t>HERO MOTOCORP LIMITED</t>
  </si>
  <si>
    <t>EQUINORTE S.A.</t>
  </si>
  <si>
    <t>Técnicos en Combustión y Tratamiento de Aguas TECCA SAS</t>
  </si>
  <si>
    <t>GALQUI S.A.S</t>
  </si>
  <si>
    <t>UNIVERSIDAD CATÓLICA DE CUENCA</t>
  </si>
  <si>
    <t>SUCESORES DE JOSE JESUS RESTREPO &amp; CIA. S.A. CASA LUKER S.A.</t>
  </si>
  <si>
    <t>UNIVERSIDAD DEL VALLE</t>
  </si>
  <si>
    <t>JUAN CARLOS CUESTA QUINTERO,_x000D_
Roberto Calvo</t>
  </si>
  <si>
    <t>Eclo S.A.S</t>
  </si>
  <si>
    <t>UNIVERSIDAD NACIONAL DE COLOMBIA,_x000D_
UNIVERSIDAD AUTONOMA METROPOLITANA</t>
  </si>
  <si>
    <t>JM HIDROGENO VERDE S.A.S</t>
  </si>
  <si>
    <t>Yongnong Biosciences Co.,
Ningxia YongNong BioSciences CO.</t>
  </si>
  <si>
    <t>CASALUKER S.A.</t>
  </si>
  <si>
    <t>FOCA MOBILIDADE DO BRASIL LTDA</t>
  </si>
  <si>
    <t>MEALS DE COLOMBIA S.A.S.</t>
  </si>
  <si>
    <t>PONTIFICIA UNIVERSIDAD JAVERIANA</t>
  </si>
  <si>
    <t>UNIVERSIDAD PONTIFICIA BOLIVARIANA</t>
  </si>
  <si>
    <t>LABORATORIOS SILANES S.A. DE C.V.</t>
  </si>
  <si>
    <t>ceps engineering sas</t>
  </si>
  <si>
    <t>UNIVERSIDAD DISTRITAL FRANCISCO JOSE DE CALDAS</t>
  </si>
  <si>
    <t>UNIVERSIDAD SERGIO ARBOLEDA,_x000D_
GUSTAVO ADOLFO  TORRES DUQUE</t>
  </si>
  <si>
    <t>COLEGIO MAYOR DE NUESTRA SEÑORA DEL ROSARIO,_x000D_
FUNDACIÓN CARDIOINFANTIL - INSTITUTO DE CARDIOLOGÍA</t>
  </si>
  <si>
    <t>PROTECNICA INGENIERIA S.A.S.</t>
  </si>
  <si>
    <t>TabBrands Inc.</t>
  </si>
  <si>
    <t>INDUSTRIA DE EMPAQUETADURAS INDEPACK SAS</t>
  </si>
  <si>
    <t>SERUM INSTITUTE OF INDIA PRIVATE LIMITED</t>
  </si>
  <si>
    <t>TRAVEL-WALLET CO., LTD.</t>
  </si>
  <si>
    <t>ECOPETROL  S.A.</t>
  </si>
  <si>
    <t>CORPORACION UNIVERSITARIA DEL HUILA</t>
  </si>
  <si>
    <t>GRAPHENE INVESTMENTS SAS</t>
  </si>
  <si>
    <t>UNIVERSIDAD INDUSTRIAL DE SANTANDER,_x000D_
ECOPETROL  S.A.</t>
  </si>
  <si>
    <t xml:space="preserve">QUIPUX. S.A.S. </t>
  </si>
  <si>
    <t>MAXDRONE SAS</t>
  </si>
  <si>
    <t>BIOMANDARINO S.A.S</t>
  </si>
  <si>
    <t>Guarany Indústria e Comécio Ltda</t>
  </si>
  <si>
    <t>218 mechanical s.a.s</t>
  </si>
  <si>
    <t>BIOCOLD TECHNOLOGIES S.AS. BIC</t>
  </si>
  <si>
    <t>UNIVERSIDAD DE ANTIOQUIA,_x000D_
PRÓTESIS AVANZADAS S.A.S.,_x000D_
FUNDACIÓN HOSPITALARIA SAN VICENTE DE PAÚL</t>
  </si>
  <si>
    <t>Frank David  Gómez Pinto</t>
  </si>
  <si>
    <t>ASADORES EL BARRIL SAS</t>
  </si>
  <si>
    <t>WEG EQUIPAMENTOS ELÉTRICOS S.A</t>
  </si>
  <si>
    <t>DALHOUSIE UNIVERSITY</t>
  </si>
  <si>
    <t>POLARISDRONE SAS</t>
  </si>
  <si>
    <t>UNIVERSIDAD INDUSTRIAL DE SANTANDER,_x000D_
UNIDADES TECNOLOGICAS DE SANTANDER</t>
  </si>
  <si>
    <t>UNIVERSIDAD LA GRAN COLOMBIA</t>
  </si>
  <si>
    <t xml:space="preserve">DSB CAPITAL GROUP SAS </t>
  </si>
  <si>
    <t>SERVICIO NACIONAL DE APRENDIZAJE SENA,_x000D_
UNIVERSIDAD INDUSTRIAL DE SANTANDER,_x000D_
ECOPETROL  S.A.</t>
  </si>
  <si>
    <t>RSG INTERNATIONAL CORP.</t>
  </si>
  <si>
    <t xml:space="preserve">LUIS FERNANDO VELEZ ZULUAGA,_x000D_
HUGO ANDRES LOPEZ </t>
  </si>
  <si>
    <t>UNIVERSIDAD DE BOYACÁ</t>
  </si>
  <si>
    <t>ENER-RAM S.A.S.</t>
  </si>
  <si>
    <t>COLEGIO MAYOR DE NUESTRA SEÑORA DEL ROSARIO,_x000D_
CORPORACION HOSPITALARIA JUAN CIUDAD</t>
  </si>
  <si>
    <t>UNIVERSIDAD EAFIT</t>
  </si>
  <si>
    <t>SANADORES AMBIENTALES SANAM COMPANY S.A.S.</t>
  </si>
  <si>
    <t>REIFENHÄUSER GMBH &amp; CO. KG MASCHINENFABRIK</t>
  </si>
  <si>
    <t>UNIVERSIDAD DE CARTAGENA</t>
  </si>
  <si>
    <t>DVA AGRO GMBH</t>
  </si>
  <si>
    <t>SEB S.A.</t>
  </si>
  <si>
    <t>ALPINA PRODUCTOS ALIMENTICIOS S.A.S. - BIC.</t>
  </si>
  <si>
    <t>LIFEFACTORS S.A.S.,_x000D_
LifeFactors Zona Franca SAS,_x000D_
LifeFactors Canadá (LifeFactors IP LP)</t>
  </si>
  <si>
    <t>INDUSTRIA MILITAR - INDUMIL</t>
  </si>
  <si>
    <t>Papier-Mettler KG</t>
  </si>
  <si>
    <t>3LOX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</si>
</sst>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0"/>
      <color theme="0"/>
      <name val="Arial"/>
      <family val="2"/>
    </font>
    <font>
      <u/>
      <sz val="11"/>
      <color theme="10"/>
      <name val="Calibri"/>
      <family val="2"/>
    </font>
    <font>
      <sz val="10"/>
      <name val="Arial"/>
      <family val="2"/>
    </font>
    <font>
      <sz val="11"/>
      <name val="Calibri"/>
    </font>
  </fonts>
  <fills count="3">
    <fill>
      <patternFill patternType="none"/>
    </fill>
    <fill>
      <patternFill patternType="gray125"/>
    </fill>
    <fill>
      <patternFill patternType="solid">
        <fgColor theme="1"/>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style="thin">
        <color auto="1"/>
      </left>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0" fontId="4" fillId="0" borderId="0"/>
  </cellStyleXfs>
  <cellXfs count="22">
    <xf numFmtId="0" fontId="0" fillId="0" borderId="0" xfId="0"/>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1" applyNumberFormat="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wrapText="1"/>
    </xf>
  </cellXfs>
  <cellStyles count="3">
    <cellStyle name="Hipervínculo" xfId="1" builtinId="8"/>
    <cellStyle name="Normal" xfId="0" builtinId="0"/>
    <cellStyle name="Normal 2" xfId="2" xr:uid="{6DE4103F-8534-4EE2-A9EE-C89FAAA5DE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5D8AF-C5E2-41CF-BA0F-FF7FF5E28C56}">
  <dimension ref="A1:K156"/>
  <sheetViews>
    <sheetView tabSelected="1" topLeftCell="A110" zoomScale="80" zoomScaleNormal="80" zoomScaleSheetLayoutView="80" workbookViewId="0">
      <selection activeCell="I2" sqref="I2"/>
    </sheetView>
  </sheetViews>
  <sheetFormatPr baseColWidth="10" defaultRowHeight="14.4" x14ac:dyDescent="0.3"/>
  <cols>
    <col min="1" max="10" width="35.77734375" customWidth="1"/>
  </cols>
  <sheetData>
    <row r="1" spans="1:11" ht="33.6" customHeight="1" x14ac:dyDescent="0.3">
      <c r="A1" s="3" t="s">
        <v>0</v>
      </c>
      <c r="B1" s="5" t="s">
        <v>1</v>
      </c>
      <c r="C1" s="5" t="s">
        <v>2</v>
      </c>
      <c r="D1" s="5" t="s">
        <v>3</v>
      </c>
      <c r="E1" s="5" t="s">
        <v>4</v>
      </c>
      <c r="F1" s="5" t="s">
        <v>5</v>
      </c>
      <c r="G1" s="5" t="s">
        <v>6</v>
      </c>
      <c r="H1" s="5" t="s">
        <v>7</v>
      </c>
      <c r="I1" s="6" t="s">
        <v>545</v>
      </c>
      <c r="J1" s="6" t="s">
        <v>544</v>
      </c>
    </row>
    <row r="2" spans="1:11" ht="113.4" customHeight="1" x14ac:dyDescent="0.3">
      <c r="A2" s="4" t="str">
        <f>HYPERLINK("http://sipi.sic.gov.co/sipi/View.ashx?5492342","NC2024/0016928")</f>
        <v>NC2024/0016928</v>
      </c>
      <c r="B2" s="1" t="s">
        <v>8</v>
      </c>
      <c r="C2" s="1" t="s">
        <v>12</v>
      </c>
      <c r="D2" s="2">
        <v>45636</v>
      </c>
      <c r="E2" s="1" t="s">
        <v>9</v>
      </c>
      <c r="F2" s="1" t="s">
        <v>13</v>
      </c>
      <c r="G2" s="1" t="s">
        <v>14</v>
      </c>
      <c r="H2" s="1" t="s">
        <v>15</v>
      </c>
      <c r="I2" s="1" t="s">
        <v>13</v>
      </c>
      <c r="J2" s="7"/>
      <c r="K2" t="str">
        <f>"INSERT INTO patentes(expediente,tipoPatente,titulo,fecha,estado,inventor, apoderado,cip ) VALUES('"&amp;TRIM(CLEAN(A2))&amp;"','"&amp;CLEAN(B2)&amp;"','"&amp;CLEAN(C2)&amp;"','"&amp;TEXT(D2,"yyyy-MM-dd")&amp;"','"&amp;CLEAN(E2)&amp;"','"&amp;CLEAN(F2)&amp;"','"&amp;CLEAN(G2)&amp;"','"&amp;TRIM(CLEAN(H2))&amp;"');"</f>
        <v>INSERT INTO patentes(expediente,tipoPatente,titulo,fecha,estado,inventor, apoderado,cip ) VALUES('NC2024/0016928','Patente de Invención Nacional','PIEZA MODULAR Y ENSAMBLE POR TESELACIÓN','2024-12-10','Publicada sin pago','Miguel Esteban Beltrán González','MANUEL ANTONIO GUERRERO GAITAN ','B44C 3/12,E03B 11/14,E03F 1/00,F17C 3/00,E02B 11/00,E04B 1/343,E01C 5/00,E01C 5/06');</v>
      </c>
    </row>
    <row r="3" spans="1:11" ht="52.8" x14ac:dyDescent="0.3">
      <c r="A3" s="4" t="str">
        <f>HYPERLINK("http://sipi.sic.gov.co/sipi/View.ashx?5515529","NC2024/0018294")</f>
        <v>NC2024/0018294</v>
      </c>
      <c r="B3" s="1" t="s">
        <v>8</v>
      </c>
      <c r="C3" s="1" t="s">
        <v>16</v>
      </c>
      <c r="D3" s="2">
        <v>45656</v>
      </c>
      <c r="E3" s="1" t="s">
        <v>9</v>
      </c>
      <c r="F3" s="1" t="s">
        <v>17</v>
      </c>
      <c r="G3" s="1" t="s">
        <v>18</v>
      </c>
      <c r="H3" s="1" t="s">
        <v>19</v>
      </c>
      <c r="I3" s="1" t="s">
        <v>546</v>
      </c>
      <c r="J3" s="7"/>
      <c r="K3" t="str">
        <f t="shared" ref="K3:K66" si="0">"INSERT INTO patentes(expediente,tipoPatente,titulo,fecha,estado,inventor, apoderado,cip ) VALUES('"&amp;TRIM(CLEAN(A3))&amp;"','"&amp;CLEAN(B3)&amp;"','"&amp;CLEAN(C3)&amp;"','"&amp;TEXT(D3,"yyyy-MM-dd")&amp;"','"&amp;CLEAN(E3)&amp;"','"&amp;CLEAN(F3)&amp;"','"&amp;CLEAN(G3)&amp;"','"&amp;TRIM(CLEAN(H3))&amp;"');"</f>
        <v>INSERT INTO patentes(expediente,tipoPatente,titulo,fecha,estado,inventor, apoderado,cip ) VALUES('NC2024/0018294','Patente de Invención Nacional','CARCASA DE DOS TAPAS','2024-12-30','Publicada sin pago','WALTER ROLANDO GALVEZ RENDON','WALTER ANTONIO GALVEZ URREGO','H01L 41/053,H01L 41/23,H01R 4/64,H02K 5/00');</v>
      </c>
    </row>
    <row r="4" spans="1:11" ht="66" x14ac:dyDescent="0.3">
      <c r="A4" s="4" t="str">
        <f>HYPERLINK("http://sipi.sic.gov.co/sipi/View.ashx?5497136","NC2024/0017135")</f>
        <v>NC2024/0017135</v>
      </c>
      <c r="B4" s="1" t="s">
        <v>8</v>
      </c>
      <c r="C4" s="1" t="s">
        <v>20</v>
      </c>
      <c r="D4" s="2">
        <v>45639</v>
      </c>
      <c r="E4" s="1" t="s">
        <v>9</v>
      </c>
      <c r="F4" s="1" t="s">
        <v>21</v>
      </c>
      <c r="G4" s="1" t="s">
        <v>11</v>
      </c>
      <c r="H4" s="1" t="s">
        <v>22</v>
      </c>
      <c r="I4" s="1" t="s">
        <v>547</v>
      </c>
      <c r="J4" s="7"/>
      <c r="K4" t="str">
        <f t="shared" si="0"/>
        <v>INSERT INTO patentes(expediente,tipoPatente,titulo,fecha,estado,inventor, apoderado,cip ) VALUES('NC2024/0017135','Patente de Invención Nacional','CALDERO ELÉCTRICO PARA HACER ARROZ, CALENTAR Y FREÍR','2024-12-13','Publicada sin pago','Alberto Ceballos Sierra,Jaime Sierra Rivera ','ALICIA LLOREDA RICAURTE','A47J 27/00,A47J 27/62,H05B 1/02,A23L 7/10,A23P 30/00');</v>
      </c>
    </row>
    <row r="5" spans="1:11" ht="66" x14ac:dyDescent="0.3">
      <c r="A5" s="4" t="str">
        <f>HYPERLINK("http://sipi.sic.gov.co/sipi/View.ashx?4782355","NC2023/0009283")</f>
        <v>NC2023/0009283</v>
      </c>
      <c r="B5" s="1" t="s">
        <v>8</v>
      </c>
      <c r="C5" s="1" t="s">
        <v>23</v>
      </c>
      <c r="D5" s="2">
        <v>45120</v>
      </c>
      <c r="E5" s="1" t="s">
        <v>9</v>
      </c>
      <c r="F5" s="1" t="s">
        <v>24</v>
      </c>
      <c r="G5" s="1" t="s">
        <v>25</v>
      </c>
      <c r="H5" s="1" t="s">
        <v>26</v>
      </c>
      <c r="I5" s="1" t="s">
        <v>24</v>
      </c>
      <c r="J5" s="7"/>
      <c r="K5" t="str">
        <f t="shared" si="0"/>
        <v>INSERT INTO patentes(expediente,tipoPatente,titulo,fecha,estado,inventor, apoderado,cip ) VALUES('NC2023/0009283','Patente de Invención Nacional','ORDENADOR MOLECULAR','2023-07-13','Publicada sin pago','SANTIAGO ESCOBAR VELASQUEZ','WILLIAM PARRA BARAJAS','C10L 1/00,C10L 1/02,F02M 25/00,F02M 27/00,F02M 27/04');</v>
      </c>
    </row>
    <row r="6" spans="1:11" ht="92.4" x14ac:dyDescent="0.3">
      <c r="A6" s="4" t="str">
        <f>HYPERLINK("http://sipi.sic.gov.co/sipi/View.ashx?5522161","NC2025/0000130")</f>
        <v>NC2025/0000130</v>
      </c>
      <c r="B6" s="1" t="s">
        <v>8</v>
      </c>
      <c r="C6" s="1" t="s">
        <v>27</v>
      </c>
      <c r="D6" s="2">
        <v>45666</v>
      </c>
      <c r="E6" s="1" t="s">
        <v>9</v>
      </c>
      <c r="F6" s="1" t="s">
        <v>28</v>
      </c>
      <c r="G6" s="1" t="s">
        <v>29</v>
      </c>
      <c r="H6" s="1" t="s">
        <v>30</v>
      </c>
      <c r="I6" s="1" t="s">
        <v>548</v>
      </c>
      <c r="J6" s="7"/>
      <c r="K6" t="str">
        <f t="shared" si="0"/>
        <v>INSERT INTO patentes(expediente,tipoPatente,titulo,fecha,estado,inventor, apoderado,cip ) VALUES('NC2025/0000130','Patente de Invención Nacional','PROCESO BASADO EN REDES NEURONALES PARA DETERMINAR PROBABILIDAD DE ENFERMEDAD PULMONAR OBSTRUCTIVA CRONICA (EPOC)','2025-01-09','Publicada sin pago','LUIS FERNANDO GIRALDO CADAVID,Daniel Alfonso Botero Rosas,ADRIANA MALDONADO FRANCO','CLAUDIA LUCIA CARO RAMIREZ','G01N 33/543,G01N 33/68,C12Q 1/6883,C12Q 1/689,A61B 5/08,G16H 10/60,G16H 50/30');</v>
      </c>
    </row>
    <row r="7" spans="1:11" ht="79.2" x14ac:dyDescent="0.3">
      <c r="A7" s="4" t="str">
        <f>HYPERLINK("http://sipi.sic.gov.co/sipi/View.ashx?5418791","NC2024/0014227")</f>
        <v>NC2024/0014227</v>
      </c>
      <c r="B7" s="1" t="s">
        <v>8</v>
      </c>
      <c r="C7" s="1" t="s">
        <v>31</v>
      </c>
      <c r="D7" s="2">
        <v>45583</v>
      </c>
      <c r="E7" s="1" t="s">
        <v>9</v>
      </c>
      <c r="F7" s="1" t="s">
        <v>32</v>
      </c>
      <c r="G7" s="1" t="s">
        <v>33</v>
      </c>
      <c r="H7" s="1" t="s">
        <v>34</v>
      </c>
      <c r="I7" s="1" t="s">
        <v>549</v>
      </c>
      <c r="J7" s="7"/>
      <c r="K7" t="str">
        <f t="shared" si="0"/>
        <v>INSERT INTO patentes(expediente,tipoPatente,titulo,fecha,estado,inventor, apoderado,cip ) VALUES('NC2024/0014227','Patente de Invención Nacional','COLORANTES A BASE DE NOPAL Y MÉTODOS DE PREPARACIÓN DE LOS MISMOS','2024-10-18','Publicada sin pago','LINA  MARIA  CHICA OSORIO ,MAURICIO  VASQUEZ RENDÓN,Andrea Zuluaga Ríos,Juliana Mejía Tangarife,David Florencio Montes de la Espriella,Sharik Dayhan Herrera Chaverra','MAURICIO JARAMILLO CAMPUZANO','C09B 61/00,C09B 67/54');</v>
      </c>
    </row>
    <row r="8" spans="1:11" ht="92.4" x14ac:dyDescent="0.3">
      <c r="A8" s="4" t="str">
        <f>HYPERLINK("http://sipi.sic.gov.co/sipi/View.ashx?5469221","NC2024/0015931")</f>
        <v>NC2024/0015931</v>
      </c>
      <c r="B8" s="1" t="s">
        <v>8</v>
      </c>
      <c r="C8" s="1" t="s">
        <v>35</v>
      </c>
      <c r="D8" s="2">
        <v>45618</v>
      </c>
      <c r="E8" s="1" t="s">
        <v>9</v>
      </c>
      <c r="F8" s="1" t="s">
        <v>36</v>
      </c>
      <c r="G8" s="1" t="s">
        <v>29</v>
      </c>
      <c r="H8" s="1" t="s">
        <v>37</v>
      </c>
      <c r="I8" s="1" t="s">
        <v>550</v>
      </c>
      <c r="J8" s="7"/>
      <c r="K8" t="str">
        <f t="shared" si="0"/>
        <v>INSERT INTO patentes(expediente,tipoPatente,titulo,fecha,estado,inventor, apoderado,cip ) VALUES('NC2024/0015931','Patente de Invención Nacional','ARTÍCULO ABSORBENTE DESECHABLE CON CAPACIDAD DE DISTRIBUCIÓN DE FLUIDO ABSORBIDO MEJORADO EN EL SENTIDO LONGITUDINAL','2024-11-22','Publicada sin pago','Tomás Luis AMIAMA DI MARZIO','CLAUDIA LUCIA CARO RAMIREZ','A61F 5/44,A61F 13/15,A61F 13/49,A61F 13/511,A61F 13/53,B32B 3/24,B32B 27/12');</v>
      </c>
    </row>
    <row r="9" spans="1:11" ht="118.8" x14ac:dyDescent="0.3">
      <c r="A9" s="4" t="str">
        <f>HYPERLINK("http://sipi.sic.gov.co/sipi/View.ashx?5469641","NC2024/0015956")</f>
        <v>NC2024/0015956</v>
      </c>
      <c r="B9" s="1" t="s">
        <v>8</v>
      </c>
      <c r="C9" s="1" t="s">
        <v>38</v>
      </c>
      <c r="D9" s="2">
        <v>45621</v>
      </c>
      <c r="E9" s="1" t="s">
        <v>9</v>
      </c>
      <c r="F9" s="1" t="s">
        <v>39</v>
      </c>
      <c r="G9" s="1" t="s">
        <v>29</v>
      </c>
      <c r="H9" s="1" t="s">
        <v>40</v>
      </c>
      <c r="I9" s="1" t="s">
        <v>550</v>
      </c>
      <c r="J9" s="7"/>
      <c r="K9" t="str">
        <f t="shared" si="0"/>
        <v>INSERT INTO patentes(expediente,tipoPatente,titulo,fecha,estado,inventor, apoderado,cip ) VALUES('NC2024/0015956','Patente de Invención Nacional','COMPOSICIÓN QUÍMICA CON CARACTERÍSTICAS FÍSICO-QUÍMICAS QUE LA ASEMEJAN A UN FLUIDO MENSTRUAL FEMENINO.','2024-11-25','Publicada sin pago','Tomás Luis AMIAMA DI MARZIO,Karina Andrea SANCHEZ TREJO','CLAUDIA LUCIA CARO RAMIREZ','A61F 13/00,A61F 13/15,A61F 13/472,A61F 13/49,A61F 13/511,A61F 13/514,A61F 13/515,A61F 13/53,A61L 15/00');</v>
      </c>
    </row>
    <row r="10" spans="1:11" ht="52.8" x14ac:dyDescent="0.3">
      <c r="A10" s="4" t="str">
        <f>HYPERLINK("http://sipi.sic.gov.co/sipi/View.ashx?5526168","NC2025/0000266")</f>
        <v>NC2025/0000266</v>
      </c>
      <c r="B10" s="1" t="s">
        <v>8</v>
      </c>
      <c r="C10" s="1" t="s">
        <v>41</v>
      </c>
      <c r="D10" s="2">
        <v>45670</v>
      </c>
      <c r="E10" s="1" t="s">
        <v>9</v>
      </c>
      <c r="F10" s="1" t="s">
        <v>42</v>
      </c>
      <c r="G10" s="1" t="s">
        <v>42</v>
      </c>
      <c r="H10" s="1" t="s">
        <v>43</v>
      </c>
      <c r="I10" s="1" t="s">
        <v>42</v>
      </c>
      <c r="J10" s="7"/>
      <c r="K10" t="str">
        <f t="shared" si="0"/>
        <v>INSERT INTO patentes(expediente,tipoPatente,titulo,fecha,estado,inventor, apoderado,cip ) VALUES('NC2025/0000266','Patente de Invención Nacional','DISPOSITIVO PARA AUTOMATIZAR ACCIONES DE COBRO TRIBUTARIO','2025-01-13','Publicada sin pago','NATALIA COLORADO BETANCOURT','NATALIA COLORADO BETANCOURT','G06G 7/00,G10L 13/00,G10L 15/00,G10L 15/01');</v>
      </c>
    </row>
    <row r="11" spans="1:11" ht="92.4" x14ac:dyDescent="0.3">
      <c r="A11" s="4" t="str">
        <f>HYPERLINK("http://sipi.sic.gov.co/sipi/View.ashx?4785255","NC2023/0009453")</f>
        <v>NC2023/0009453</v>
      </c>
      <c r="B11" s="1" t="s">
        <v>8</v>
      </c>
      <c r="C11" s="1" t="s">
        <v>44</v>
      </c>
      <c r="D11" s="2">
        <v>45121</v>
      </c>
      <c r="E11" s="1" t="s">
        <v>9</v>
      </c>
      <c r="F11" s="1" t="s">
        <v>45</v>
      </c>
      <c r="G11" s="1" t="s">
        <v>46</v>
      </c>
      <c r="H11" s="1" t="s">
        <v>47</v>
      </c>
      <c r="I11" s="1" t="s">
        <v>551</v>
      </c>
      <c r="J11" s="7"/>
      <c r="K11" t="str">
        <f t="shared" si="0"/>
        <v>INSERT INTO patentes(expediente,tipoPatente,titulo,fecha,estado,inventor, apoderado,cip ) VALUES('NC2023/0009453','Patente de Invención Nacional','MECANISMO DE CONEXIÓN DEL ASIENTO CON COMPONENTES METÁLICOS Y POLIMÉRICOS','2023-07-14','Publicada sin pago','ALVARO MAURICIO OLARTE','LUIS FELIPE CASTILLO GIBSONE','E05D 5/10,E05D 5/14,A47C 1/00,A47C 1/02,A47C 1/121,A47C 7/58,A47C 21/00');</v>
      </c>
    </row>
    <row r="12" spans="1:11" ht="105.6" x14ac:dyDescent="0.3">
      <c r="A12" s="4" t="str">
        <f>HYPERLINK("http://sipi.sic.gov.co/sipi/View.ashx?5285966","NC2024/0009441")</f>
        <v>NC2024/0009441</v>
      </c>
      <c r="B12" s="1" t="s">
        <v>8</v>
      </c>
      <c r="C12" s="1" t="s">
        <v>48</v>
      </c>
      <c r="D12" s="2">
        <v>45490</v>
      </c>
      <c r="E12" s="1" t="s">
        <v>9</v>
      </c>
      <c r="F12" s="1" t="s">
        <v>50</v>
      </c>
      <c r="G12" s="1" t="s">
        <v>49</v>
      </c>
      <c r="H12" s="1" t="s">
        <v>51</v>
      </c>
      <c r="I12" s="1" t="s">
        <v>49</v>
      </c>
      <c r="J12" s="7"/>
      <c r="K12" t="str">
        <f t="shared" si="0"/>
        <v>INSERT INTO patentes(expediente,tipoPatente,titulo,fecha,estado,inventor, apoderado,cip ) VALUES('NC2024/0009441','Patente de Invención Nacional','MÁQUINA MODULAR, CÍCLICA Y ROTATORIA PARA SELECCIÓN Y CLASIFICACIÓN ÓPTICA DE FRUTOS DE CAFÉ','2024-07-17','Publicada sin pago','YILVER ALEXIS CRUZ ORTIZ,WEIMAR ANDRES CRUZ ORTIZ','YILVER ALEXIS CRUZ ORTIZ','B07B 4/02,B07B 9/00,B07C 5/00,B07C 5/02,B07C 5/34,B07C 5/342,B07C 5/36,G01J 3/46');</v>
      </c>
    </row>
    <row r="13" spans="1:11" ht="105.6" x14ac:dyDescent="0.3">
      <c r="A13" s="4" t="str">
        <f>HYPERLINK("http://sipi.sic.gov.co/sipi/View.ashx?5449983","NC2024/0015319")</f>
        <v>NC2024/0015319</v>
      </c>
      <c r="B13" s="1" t="s">
        <v>8</v>
      </c>
      <c r="C13" s="1" t="s">
        <v>52</v>
      </c>
      <c r="D13" s="2">
        <v>45606</v>
      </c>
      <c r="E13" s="1" t="s">
        <v>9</v>
      </c>
      <c r="F13" s="1" t="s">
        <v>53</v>
      </c>
      <c r="G13" s="1" t="s">
        <v>54</v>
      </c>
      <c r="H13" s="1" t="s">
        <v>55</v>
      </c>
      <c r="I13" s="1" t="s">
        <v>53</v>
      </c>
      <c r="J13" s="7"/>
      <c r="K13" t="str">
        <f t="shared" si="0"/>
        <v>INSERT INTO patentes(expediente,tipoPatente,titulo,fecha,estado,inventor, apoderado,cip ) VALUES('NC2024/0015319','Patente de Invención Nacional','SISTEMA DE OPTIMIZACIÓN Y DESVÍO INTELIGENTE DE AGUA PARA CALENTADORES DE GAS DOMÉSTICOS','2024-11-10','Publicada sin pago','Daniel  López Tabares,Carlos Emilio López Ciro','Daniel  López Tabares','F24H 1/00,F24H 1/10,F24H 1/14,F24H 1/18,F24H 3/04,F24H 9/12,F24H 9/20,F24D 17/00');</v>
      </c>
    </row>
    <row r="14" spans="1:11" ht="39.6" x14ac:dyDescent="0.3">
      <c r="A14" s="4" t="str">
        <f>HYPERLINK("http://sipi.sic.gov.co/sipi/View.ashx?5416378","NC2024/0014055")</f>
        <v>NC2024/0014055</v>
      </c>
      <c r="B14" s="1" t="s">
        <v>8</v>
      </c>
      <c r="C14" s="1" t="s">
        <v>56</v>
      </c>
      <c r="D14" s="2">
        <v>45582</v>
      </c>
      <c r="E14" s="1" t="s">
        <v>9</v>
      </c>
      <c r="F14" s="1" t="s">
        <v>57</v>
      </c>
      <c r="G14" s="1" t="s">
        <v>57</v>
      </c>
      <c r="H14" s="1"/>
      <c r="I14" s="1" t="s">
        <v>57</v>
      </c>
      <c r="J14" s="7"/>
      <c r="K14" t="str">
        <f t="shared" si="0"/>
        <v>INSERT INTO patentes(expediente,tipoPatente,titulo,fecha,estado,inventor, apoderado,cip ) VALUES('NC2024/0014055','Patente de Invención Nacional','MÉTODO Y APARATO PARA REVESTIR HILOS METÁLICOS Y NO METÁLICOS CON PLÁSTICO','2024-10-17','Publicada sin pago','Marco Antonio Iturriza Moreno','Marco Antonio Iturriza Moreno','');</v>
      </c>
    </row>
    <row r="15" spans="1:11" ht="158.4" x14ac:dyDescent="0.3">
      <c r="A15" s="4" t="str">
        <f>HYPERLINK("http://sipi.sic.gov.co/sipi/View.ashx?5511320","NC2024/0018023")</f>
        <v>NC2024/0018023</v>
      </c>
      <c r="B15" s="1" t="s">
        <v>8</v>
      </c>
      <c r="C15" s="1" t="s">
        <v>58</v>
      </c>
      <c r="D15" s="2">
        <v>45652</v>
      </c>
      <c r="E15" s="1" t="s">
        <v>9</v>
      </c>
      <c r="F15" s="1" t="s">
        <v>59</v>
      </c>
      <c r="G15" s="1" t="s">
        <v>60</v>
      </c>
      <c r="H15" s="1" t="s">
        <v>61</v>
      </c>
      <c r="I15" s="1" t="s">
        <v>552</v>
      </c>
      <c r="J15" s="7"/>
      <c r="K15" t="str">
        <f t="shared" si="0"/>
        <v>INSERT INTO patentes(expediente,tipoPatente,titulo,fecha,estado,inventor, apoderado,cip ) VALUES('NC2024/0018023','Patente de Invención Nacional','SISTEMA DE SUSPENSIÓN POSTERIOR PARA VEHICULOS ELÉCTRICO DE TRANSPORTE DE CARGA','2024-12-26','Publicada sin pago','Rosemberg ESPINEL FORERO,JOHN FEDDY  TRAIANA VARGAS,Carlos Montenegro,ROBERTO IREGUI','LIZBETH CALVO','B60P 1/00,B60P 1/64,B60P 3/00,B60P 9/00,B60G 3/24,B60G 11/46,B62D 21/11,B60G 3/12,B60G 3/20,B60G 7/00,B60G 11/27,B60G 21/05');</v>
      </c>
    </row>
    <row r="16" spans="1:11" ht="118.8" x14ac:dyDescent="0.3">
      <c r="A16" s="4" t="str">
        <f>HYPERLINK("http://sipi.sic.gov.co/sipi/View.ashx?5511334","NC2024/0018031")</f>
        <v>NC2024/0018031</v>
      </c>
      <c r="B16" s="1" t="s">
        <v>8</v>
      </c>
      <c r="C16" s="1" t="s">
        <v>62</v>
      </c>
      <c r="D16" s="2">
        <v>45652</v>
      </c>
      <c r="E16" s="1" t="s">
        <v>9</v>
      </c>
      <c r="F16" s="1" t="s">
        <v>63</v>
      </c>
      <c r="G16" s="1" t="s">
        <v>60</v>
      </c>
      <c r="H16" s="1" t="s">
        <v>64</v>
      </c>
      <c r="I16" s="1" t="s">
        <v>552</v>
      </c>
      <c r="J16" s="7"/>
      <c r="K16" t="str">
        <f t="shared" si="0"/>
        <v>INSERT INTO patentes(expediente,tipoPatente,titulo,fecha,estado,inventor, apoderado,cip ) VALUES('NC2024/0018031','Patente de Invención Nacional','SISTEMA BASTIDOR PARA UN VEHÍCULO ELÉCTRICO DE TRANPORTE DE CARGA ','2024-12-26','Publicada sin pago','CARLOS MIGUEL MONTENEGRO PEREZ,Rosemberg Espinel Forero,JOHN FEDDY  TRAIANA VARGAS,fabio alirio  cueca,fabio zapata montenegro ','LIZBETH CALVO','B60P 1/00,B60P 1/64,B60P 3/00,B60P 9/00,B60L 50/50,B62D 31/00,B62K 5/01,B62K 7/04,B62J 43/20');</v>
      </c>
    </row>
    <row r="17" spans="1:11" ht="92.4" x14ac:dyDescent="0.3">
      <c r="A17" s="4" t="str">
        <f>HYPERLINK("http://sipi.sic.gov.co/sipi/View.ashx?5511335","NC2024/0018030")</f>
        <v>NC2024/0018030</v>
      </c>
      <c r="B17" s="1" t="s">
        <v>8</v>
      </c>
      <c r="C17" s="1" t="s">
        <v>65</v>
      </c>
      <c r="D17" s="2">
        <v>45652</v>
      </c>
      <c r="E17" s="1" t="s">
        <v>9</v>
      </c>
      <c r="F17" s="1" t="s">
        <v>66</v>
      </c>
      <c r="G17" s="1" t="s">
        <v>60</v>
      </c>
      <c r="H17" s="1" t="s">
        <v>67</v>
      </c>
      <c r="I17" s="1" t="s">
        <v>552</v>
      </c>
      <c r="J17" s="7"/>
      <c r="K17" t="str">
        <f t="shared" si="0"/>
        <v>INSERT INTO patentes(expediente,tipoPatente,titulo,fecha,estado,inventor, apoderado,cip ) VALUES('NC2024/0018030','Patente de Invención Nacional','SISTEMA DE FRENOS PARA VEHICULO ELECTRICO DE TRANSPORTE DE CARGA','2024-12-26','Publicada sin pago','Rosemberg ESPINEL FORERO,JOHN FEDDY  TRAIANA VARGAS,Carlos Montenegro,José Isaias Montaña Galán,DIEGO FERNANDO MOJICA,Henry Guerra Galvis,Claudio Bernardo Duque Calderón','LIZBETH CALVO','B60P 1/00,B60P 1/64,B60P 3/00,B60P 9/00,B60L 7/26,B60T 8/1761,B60T 13/58');</v>
      </c>
    </row>
    <row r="18" spans="1:11" ht="52.8" x14ac:dyDescent="0.3">
      <c r="A18" s="4" t="str">
        <f>HYPERLINK("http://sipi.sic.gov.co/sipi/View.ashx?5516604","NC2024/0018397")</f>
        <v>NC2024/0018397</v>
      </c>
      <c r="B18" s="1" t="s">
        <v>8</v>
      </c>
      <c r="C18" s="1" t="s">
        <v>68</v>
      </c>
      <c r="D18" s="2">
        <v>45657</v>
      </c>
      <c r="E18" s="1" t="s">
        <v>9</v>
      </c>
      <c r="F18" s="1" t="s">
        <v>69</v>
      </c>
      <c r="G18" s="1" t="s">
        <v>70</v>
      </c>
      <c r="H18" s="1" t="s">
        <v>71</v>
      </c>
      <c r="I18" s="1" t="s">
        <v>553</v>
      </c>
      <c r="J18" s="7"/>
      <c r="K18" t="str">
        <f t="shared" si="0"/>
        <v>INSERT INTO patentes(expediente,tipoPatente,titulo,fecha,estado,inventor, apoderado,cip ) VALUES('NC2024/0018397','Patente de Invención Nacional','DISPOSITIVO DE TELEMEDICINA Y PROCEDIMIENTO DE DIAGNOSTICO Y CLASIFICACION DE RIESGO','2024-12-31','Publicada sin pago','ELI JACOB GODOY RUIZ','EDWAR ANDRES ROMERO GONGORA','A61B 5/00,G06F 15/16,G06Q 50/00,H04M 11/00');</v>
      </c>
    </row>
    <row r="19" spans="1:11" ht="105.6" x14ac:dyDescent="0.3">
      <c r="A19" s="4" t="str">
        <f>HYPERLINK("http://sipi.sic.gov.co/sipi/View.ashx?5485257","NC2024/0016710")</f>
        <v>NC2024/0016710</v>
      </c>
      <c r="B19" s="1" t="s">
        <v>8</v>
      </c>
      <c r="C19" s="1" t="s">
        <v>72</v>
      </c>
      <c r="D19" s="2">
        <v>45630</v>
      </c>
      <c r="E19" s="1" t="s">
        <v>9</v>
      </c>
      <c r="F19" s="1" t="s">
        <v>73</v>
      </c>
      <c r="G19" s="1" t="s">
        <v>74</v>
      </c>
      <c r="H19" s="1" t="s">
        <v>75</v>
      </c>
      <c r="I19" s="1" t="s">
        <v>554</v>
      </c>
      <c r="J19" s="7"/>
      <c r="K19" t="str">
        <f t="shared" si="0"/>
        <v>INSERT INTO patentes(expediente,tipoPatente,titulo,fecha,estado,inventor, apoderado,cip ) VALUES('NC2024/0016710','Patente de Invención Nacional','DISPOSITIVO DE BOMBEO PERPETUO PARA ACUAPONÍA','2024-12-04','Publicada sin pago','Julia Victoria Arredondo Botero,Edwin Alberto Giraldo Ramírez,Óscar Eduardo Molano Betancur,Juan Esteban García Granda,Leonardo Quiceno Marín,José Antonio González Ruiz,Iván Alberto Herrera Duque,Juan Camilo Martínez Molina','CARLOS FERNANDO TAMAYO LOPEZ','A01G 31/06,A01K 63/04,A01G 7/04');</v>
      </c>
    </row>
    <row r="20" spans="1:11" ht="52.8" x14ac:dyDescent="0.3">
      <c r="A20" s="4" t="str">
        <f>HYPERLINK("http://sipi.sic.gov.co/sipi/View.ashx?4810686","NC2023/0010375")</f>
        <v>NC2023/0010375</v>
      </c>
      <c r="B20" s="1" t="s">
        <v>8</v>
      </c>
      <c r="C20" s="1" t="s">
        <v>76</v>
      </c>
      <c r="D20" s="2">
        <v>45142</v>
      </c>
      <c r="E20" s="1" t="s">
        <v>9</v>
      </c>
      <c r="F20" s="1" t="s">
        <v>77</v>
      </c>
      <c r="G20" s="1" t="s">
        <v>78</v>
      </c>
      <c r="H20" s="1" t="s">
        <v>79</v>
      </c>
      <c r="I20" s="1" t="s">
        <v>555</v>
      </c>
      <c r="J20" s="7"/>
      <c r="K20" t="str">
        <f t="shared" si="0"/>
        <v>INSERT INTO patentes(expediente,tipoPatente,titulo,fecha,estado,inventor, apoderado,cip ) VALUES('NC2023/0010375','Patente de Invención Nacional','“REACTOR FUNGIBLE PARA EL PROCESAMIENTO DE BATERÍAS”','2023-08-04','Publicada sin pago','Pedro Luis  Delvasto Angarita,Diego  Pérez Acevedo,Jhon Freddy  Palacios ,Diego Fernando  Hernández Pardo ','CARLOS REINALDO OLARTE GARCIA','H01M 6/52');</v>
      </c>
    </row>
    <row r="21" spans="1:11" ht="39.6" x14ac:dyDescent="0.3">
      <c r="A21" s="4" t="str">
        <f>HYPERLINK("http://sipi.sic.gov.co/sipi/View.ashx?4811965","NC2023/0010382")</f>
        <v>NC2023/0010382</v>
      </c>
      <c r="B21" s="1" t="s">
        <v>8</v>
      </c>
      <c r="C21" s="1" t="s">
        <v>80</v>
      </c>
      <c r="D21" s="2">
        <v>45142</v>
      </c>
      <c r="E21" s="1" t="s">
        <v>9</v>
      </c>
      <c r="F21" s="1" t="s">
        <v>81</v>
      </c>
      <c r="G21" s="1" t="s">
        <v>78</v>
      </c>
      <c r="H21" s="1" t="s">
        <v>82</v>
      </c>
      <c r="I21" s="1" t="s">
        <v>556</v>
      </c>
      <c r="J21" s="7"/>
      <c r="K21" t="str">
        <f t="shared" si="0"/>
        <v>INSERT INTO patentes(expediente,tipoPatente,titulo,fecha,estado,inventor, apoderado,cip ) VALUES('NC2023/0010382','Patente de Invención Nacional','EMPAQUE EXHIBIDOR PARA BOTELLA','2023-08-04','Publicada sin pago','Cesar Augusto Bernal Gonzalez','CARLOS REINALDO OLARTE GARCIA','B65D 6/02,B65D 25/02,B65D 25/24');</v>
      </c>
    </row>
    <row r="22" spans="1:11" ht="145.19999999999999" x14ac:dyDescent="0.3">
      <c r="A22" s="4" t="str">
        <f>HYPERLINK("http://sipi.sic.gov.co/sipi/View.ashx?4806599","NC2023/0010306")</f>
        <v>NC2023/0010306</v>
      </c>
      <c r="B22" s="1" t="s">
        <v>8</v>
      </c>
      <c r="C22" s="1" t="s">
        <v>83</v>
      </c>
      <c r="D22" s="2">
        <v>45140</v>
      </c>
      <c r="E22" s="1" t="s">
        <v>9</v>
      </c>
      <c r="F22" s="1" t="s">
        <v>84</v>
      </c>
      <c r="G22" s="1" t="s">
        <v>78</v>
      </c>
      <c r="H22" s="1" t="s">
        <v>85</v>
      </c>
      <c r="I22" s="1" t="s">
        <v>557</v>
      </c>
      <c r="J22" s="7"/>
      <c r="K22" t="str">
        <f t="shared" si="0"/>
        <v>INSERT INTO patentes(expediente,tipoPatente,titulo,fecha,estado,inventor, apoderado,cip ) VALUES('NC2023/0010306','Patente de Invención Nacional','MÁQUINA MODULAR PARA CONSTRUCCIÓN DE CIMENTACIONES','2023-08-02','Publicada sin pago','Giovanni  Gélvez Gélvez ,Cristian Giovanni  Mosquera Castillo','CARLOS REINALDO OLARTE GARCIA','E21B 7/02,E21B 15/00,E21B 15/04,E21D 20/00,E21B 3/02,E21B 19/00,E21B 19/06,E21B 19/16,E21B 7/12,E21B 33/064,B63B 35/44');</v>
      </c>
    </row>
    <row r="23" spans="1:11" ht="118.8" x14ac:dyDescent="0.3">
      <c r="A23" s="4" t="str">
        <f>HYPERLINK("http://sipi.sic.gov.co/sipi/View.ashx?5040935","NC2024/0001128")</f>
        <v>NC2024/0001128</v>
      </c>
      <c r="B23" s="1" t="s">
        <v>8</v>
      </c>
      <c r="C23" s="1" t="s">
        <v>86</v>
      </c>
      <c r="D23" s="2">
        <v>45323</v>
      </c>
      <c r="E23" s="1" t="s">
        <v>9</v>
      </c>
      <c r="F23" s="1" t="s">
        <v>87</v>
      </c>
      <c r="G23" s="1" t="s">
        <v>88</v>
      </c>
      <c r="H23" s="1" t="s">
        <v>89</v>
      </c>
      <c r="I23" s="1" t="s">
        <v>558</v>
      </c>
      <c r="J23" s="7"/>
      <c r="K23" t="str">
        <f t="shared" si="0"/>
        <v>INSERT INTO patentes(expediente,tipoPatente,titulo,fecha,estado,inventor, apoderado,cip ) VALUES('NC2024/0001128','Patente de Invención Nacional','COMPOSICIÓN DE ETIPROL Y FLONICAMID Y MÉTODO DE PREPARACIÓN DE LA MISMA Y GRÁNULOS DISPERSABLES EN AGUA DE LA MISMA','2024-02-01','Publicada sin pago','Zhiqing LI,Jianwei WANG,Lanhua LIU,Peng SUN','JUAN CARLOS CUESTA QUINTERO','A01N 25/00,A01N 25/02,A01N 43/40,A01N 43/54,A01N 43/56,A01N 43/78,A01N 43/80,A01N 43/90,A01N 63/00');</v>
      </c>
    </row>
    <row r="24" spans="1:11" ht="26.4" x14ac:dyDescent="0.3">
      <c r="A24" s="4" t="str">
        <f>HYPERLINK("http://sipi.sic.gov.co/sipi/View.ashx?4805760","NC2023/0010262")</f>
        <v>NC2023/0010262</v>
      </c>
      <c r="B24" s="1" t="s">
        <v>8</v>
      </c>
      <c r="C24" s="1" t="s">
        <v>90</v>
      </c>
      <c r="D24" s="2">
        <v>45139</v>
      </c>
      <c r="E24" s="1" t="s">
        <v>9</v>
      </c>
      <c r="F24" s="1" t="s">
        <v>91</v>
      </c>
      <c r="G24" s="1" t="s">
        <v>92</v>
      </c>
      <c r="H24" s="1" t="s">
        <v>93</v>
      </c>
      <c r="I24" s="1" t="s">
        <v>559</v>
      </c>
      <c r="J24" s="7"/>
      <c r="K24" t="str">
        <f t="shared" si="0"/>
        <v>INSERT INTO patentes(expediente,tipoPatente,titulo,fecha,estado,inventor, apoderado,cip ) VALUES('NC2023/0010262','Patente de Invención Nacional','INSERTO PLÁSTICO PARA VÁLVULAS O ACCESORIOS PLÁSTICOS','2023-08-01','Publicada sin pago','Santiago González Echeverry','María José Lamus Becerra','F16L 55/07,F16K 27/02');</v>
      </c>
    </row>
    <row r="25" spans="1:11" ht="66" x14ac:dyDescent="0.3">
      <c r="A25" s="4" t="str">
        <f>HYPERLINK("http://sipi.sic.gov.co/sipi/View.ashx?5470251","NC2024/0015955")</f>
        <v>NC2024/0015955</v>
      </c>
      <c r="B25" s="1" t="s">
        <v>8</v>
      </c>
      <c r="C25" s="1" t="s">
        <v>94</v>
      </c>
      <c r="D25" s="2">
        <v>45620</v>
      </c>
      <c r="E25" s="1" t="s">
        <v>9</v>
      </c>
      <c r="F25" s="1" t="s">
        <v>95</v>
      </c>
      <c r="G25" s="1" t="s">
        <v>96</v>
      </c>
      <c r="H25" s="1" t="s">
        <v>97</v>
      </c>
      <c r="I25" s="1" t="s">
        <v>95</v>
      </c>
      <c r="J25" s="7"/>
      <c r="K25" t="str">
        <f t="shared" si="0"/>
        <v>INSERT INTO patentes(expediente,tipoPatente,titulo,fecha,estado,inventor, apoderado,cip ) VALUES('NC2024/0015955','Patente de Invención Nacional','MONITOREO DE FRECUENCIAS DE VUELO Y PAUSAS EN VUELO ESTACIONARIO DE COLIBRÍES A TRAVÉS DE TÉCNICAS DE VISIÓN POR COMPUTADOR.','2024-11-24','Publicada sin pago','Maria Ximena Bastidas Rodriguez,Ana Melisa Fernandes Fernandes,Juan Roncancio','Maria Ximena Bastidas Rodriguez','G06K 9/00,G06K 9/03,G06K 9/18,G06K 9/20,G06K 9/82');</v>
      </c>
    </row>
    <row r="26" spans="1:11" ht="92.4" x14ac:dyDescent="0.3">
      <c r="A26" s="4" t="str">
        <f>HYPERLINK("http://sipi.sic.gov.co/sipi/View.ashx?5516168","NC2024/0018338")</f>
        <v>NC2024/0018338</v>
      </c>
      <c r="B26" s="1" t="s">
        <v>8</v>
      </c>
      <c r="C26" s="1" t="s">
        <v>98</v>
      </c>
      <c r="D26" s="2">
        <v>45656</v>
      </c>
      <c r="E26" s="1" t="s">
        <v>9</v>
      </c>
      <c r="F26" s="1" t="s">
        <v>99</v>
      </c>
      <c r="G26" s="1" t="s">
        <v>10</v>
      </c>
      <c r="H26" s="1" t="s">
        <v>100</v>
      </c>
      <c r="I26" s="8" t="s">
        <v>99</v>
      </c>
      <c r="J26" s="7"/>
      <c r="K26" t="str">
        <f t="shared" si="0"/>
        <v>INSERT INTO patentes(expediente,tipoPatente,titulo,fecha,estado,inventor, apoderado,cip ) VALUES('NC2024/0018338','Patente de Invención Nacional','MOTOR SÍNCRONO ULTRADELGADO Y ULTRALIVIANO CON CONTROL DE VELOCIDAD AUTOMÁTICO Y ELECTROMECÁNICO','2024-12-30','Publicada sin pago','IVAN HERRERA MURGUEITIO','CAROLINA VERA MATIZ','H02K 17/00,H02K 17/02,H02K 19/00,H02K 19/02,H02K 21/00,H02K 41/025,H02K 41/03');</v>
      </c>
    </row>
    <row r="27" spans="1:11" ht="66" x14ac:dyDescent="0.3">
      <c r="A27" s="4" t="str">
        <f>HYPERLINK("http://sipi.sic.gov.co/sipi/View.ashx?5521239","NC2025/0000237")</f>
        <v>NC2025/0000237</v>
      </c>
      <c r="B27" s="1" t="s">
        <v>8</v>
      </c>
      <c r="C27" s="1" t="s">
        <v>101</v>
      </c>
      <c r="D27" s="2">
        <v>45670</v>
      </c>
      <c r="E27" s="1" t="s">
        <v>9</v>
      </c>
      <c r="F27" s="1" t="s">
        <v>102</v>
      </c>
      <c r="G27" s="1" t="s">
        <v>103</v>
      </c>
      <c r="H27" s="1" t="s">
        <v>104</v>
      </c>
      <c r="I27" s="8" t="s">
        <v>560</v>
      </c>
      <c r="J27" s="7"/>
      <c r="K27" t="str">
        <f t="shared" si="0"/>
        <v>INSERT INTO patentes(expediente,tipoPatente,titulo,fecha,estado,inventor, apoderado,cip ) VALUES('NC2025/0000237','Patente de Invención Nacional','PROCESOS PARA LA FABRICACIÓN DE BRIQUETAS A PARTIR DE CÁSCARA DE COCO Y BRIQUETAS OBTENIDAS','2025-01-13','Publicada sin pago','ASTRID VANESSA ESPINEL OVIEDO ,PAOLA ANDREA   MEJÍA ALVAREZ,MARIA MARGARITA  PORTILLA GONZÁLEZ,FRANCISCO JAVIER  CAICEDO MESSA','MARIO ANDRES ORTEGA MENDOZA','C10L 5/06,A01G 24/25');</v>
      </c>
    </row>
    <row r="28" spans="1:11" x14ac:dyDescent="0.3">
      <c r="A28" s="4" t="str">
        <f>HYPERLINK("http://sipi.sic.gov.co/sipi/View.ashx?4812084","NC2023/0010399")</f>
        <v>NC2023/0010399</v>
      </c>
      <c r="B28" s="1" t="s">
        <v>8</v>
      </c>
      <c r="C28" s="1" t="s">
        <v>105</v>
      </c>
      <c r="D28" s="2">
        <v>45146</v>
      </c>
      <c r="E28" s="1" t="s">
        <v>9</v>
      </c>
      <c r="F28" s="1" t="s">
        <v>81</v>
      </c>
      <c r="G28" s="1" t="s">
        <v>78</v>
      </c>
      <c r="H28" s="1" t="s">
        <v>106</v>
      </c>
      <c r="I28" s="8" t="s">
        <v>556</v>
      </c>
      <c r="J28" s="7"/>
      <c r="K28" t="str">
        <f t="shared" si="0"/>
        <v>INSERT INTO patentes(expediente,tipoPatente,titulo,fecha,estado,inventor, apoderado,cip ) VALUES('NC2023/0010399','Patente de Invención Nacional','CONTENEDOR PLEGABLE','2023-08-08','Publicada sin pago','Cesar Augusto Bernal Gonzalez','CARLOS REINALDO OLARTE GARCIA','B65D 5/00');</v>
      </c>
    </row>
    <row r="29" spans="1:11" ht="105.6" x14ac:dyDescent="0.3">
      <c r="A29" s="4" t="str">
        <f>HYPERLINK("http://sipi.sic.gov.co/sipi/View.ashx?5474832","NC2024/0016099")</f>
        <v>NC2024/0016099</v>
      </c>
      <c r="B29" s="1" t="s">
        <v>8</v>
      </c>
      <c r="C29" s="1" t="s">
        <v>107</v>
      </c>
      <c r="D29" s="2">
        <v>45623</v>
      </c>
      <c r="E29" s="1" t="s">
        <v>9</v>
      </c>
      <c r="F29" s="1" t="s">
        <v>108</v>
      </c>
      <c r="G29" s="1" t="s">
        <v>109</v>
      </c>
      <c r="H29" s="1" t="s">
        <v>110</v>
      </c>
      <c r="I29" s="8" t="s">
        <v>561</v>
      </c>
      <c r="J29" s="7"/>
      <c r="K29" t="str">
        <f t="shared" si="0"/>
        <v>INSERT INTO patentes(expediente,tipoPatente,titulo,fecha,estado,inventor, apoderado,cip ) VALUES('NC2024/0016099','Patente de Invención Nacional','DISPOSITIVO TIPO DENDRÓMETRO PARA MEDICIÓN DE TALLOS Y FRUTOS','2024-11-27','Publicada sin pago','ORIANA MICHELLE GOMEZ MUÑOZ,Brian Stiven Bulla Caro,Deivy Ricardo Enciso Rodríguez,Esteban Alexis Morillo Morales,Liliana Ríos Rojas,Marysol Cano Benitez,Gustavo Acosta Herrera,Mauricio Fernando Martínez','Diana Marcela  Bonilla Rojas','G01B 5/00,G01B 7/12,G01B 7/16,G01B 11/02,G01N 33/46');</v>
      </c>
    </row>
    <row r="30" spans="1:11" ht="52.8" x14ac:dyDescent="0.3">
      <c r="A30" s="4" t="str">
        <f>HYPERLINK("http://sipi.sic.gov.co/sipi/View.ashx?3582296","NC2021/0008257")</f>
        <v>NC2021/0008257</v>
      </c>
      <c r="B30" s="1" t="s">
        <v>8</v>
      </c>
      <c r="C30" s="1" t="s">
        <v>111</v>
      </c>
      <c r="D30" s="2">
        <v>44371</v>
      </c>
      <c r="E30" s="1" t="s">
        <v>9</v>
      </c>
      <c r="F30" s="1" t="s">
        <v>112</v>
      </c>
      <c r="G30" s="1" t="s">
        <v>113</v>
      </c>
      <c r="H30" s="1" t="s">
        <v>114</v>
      </c>
      <c r="I30" s="8" t="s">
        <v>562</v>
      </c>
      <c r="J30" s="7"/>
      <c r="K30" t="str">
        <f t="shared" si="0"/>
        <v>INSERT INTO patentes(expediente,tipoPatente,titulo,fecha,estado,inventor, apoderado,cip ) VALUES('NC2021/0008257','Patente de Invención Nacional','SISTEMA DE ALMACENAMIENTO DE ENERGÍA PARA VEHÍCULOS DE DOS RUEDAS Y MÉTODO DE FABRICACIÓN DEL MISMO','2021-06-24','Publicada sin pago','Behlen Christian ,Martinovic Bernard','JESUS MARIA MENDEZ BERMUDEZ','B60L 50/64,H01M 50/202');</v>
      </c>
    </row>
    <row r="31" spans="1:11" ht="39.6" x14ac:dyDescent="0.3">
      <c r="A31" s="4" t="str">
        <f>HYPERLINK("http://sipi.sic.gov.co/sipi/View.ashx?4962659","NC2023/0016713")</f>
        <v>NC2023/0016713</v>
      </c>
      <c r="B31" s="1" t="s">
        <v>8</v>
      </c>
      <c r="C31" s="1" t="s">
        <v>115</v>
      </c>
      <c r="D31" s="2">
        <v>45261</v>
      </c>
      <c r="E31" s="1" t="s">
        <v>9</v>
      </c>
      <c r="F31" s="1" t="s">
        <v>116</v>
      </c>
      <c r="G31" s="1" t="s">
        <v>116</v>
      </c>
      <c r="H31" s="1" t="s">
        <v>117</v>
      </c>
      <c r="I31" s="8" t="s">
        <v>116</v>
      </c>
      <c r="J31" s="7"/>
      <c r="K31" t="str">
        <f t="shared" si="0"/>
        <v>INSERT INTO patentes(expediente,tipoPatente,titulo,fecha,estado,inventor, apoderado,cip ) VALUES('NC2023/0016713','Patente de Invención Nacional','GENERADOR DE FUERZA MOTRIZ POR GRAVEDAD','2023-12-01','Publicada sin pago','CARLOS YESID VARELA BERNAL','CARLOS YESID VARELA BERNAL','F03G 3/00,F03G 7/10,B60L 50/10');</v>
      </c>
    </row>
    <row r="32" spans="1:11" ht="52.8" x14ac:dyDescent="0.3">
      <c r="A32" s="4" t="str">
        <f>HYPERLINK("http://sipi.sic.gov.co/sipi/View.ashx?5486222","NC2024/0016757")</f>
        <v>NC2024/0016757</v>
      </c>
      <c r="B32" s="1" t="s">
        <v>8</v>
      </c>
      <c r="C32" s="1" t="s">
        <v>118</v>
      </c>
      <c r="D32" s="2">
        <v>45631</v>
      </c>
      <c r="E32" s="1" t="s">
        <v>9</v>
      </c>
      <c r="F32" s="1" t="s">
        <v>120</v>
      </c>
      <c r="G32" s="1" t="s">
        <v>119</v>
      </c>
      <c r="H32" s="1" t="s">
        <v>121</v>
      </c>
      <c r="I32" s="9" t="s">
        <v>119</v>
      </c>
      <c r="J32" s="7"/>
      <c r="K32" t="str">
        <f t="shared" si="0"/>
        <v>INSERT INTO patentes(expediente,tipoPatente,titulo,fecha,estado,inventor, apoderado,cip ) VALUES('NC2024/0016757','Patente de Invención Nacional','PIEZA DE MANO PARA ACELERACIÓN DEL MOVIMIENTO DENTAL Y CONTROL DEL DOLOR DURANTE LOS TRATAMIENTOS DE ORTODONCIA','2024-12-05','Publicada sin pago','SERGIO ANDRÉS VELÁSQUEZ CUJAR,Angela Ines Dominguez Camacho','Angela Ines Dominguez Camacho','A61C 7/00,A61C 7/08,A61N 5/06,A61N 5/067');</v>
      </c>
    </row>
    <row r="33" spans="1:11" ht="105.6" x14ac:dyDescent="0.3">
      <c r="A33" s="4" t="str">
        <f>HYPERLINK("http://sipi.sic.gov.co/sipi/View.ashx?4833596","NC2023/0010983")</f>
        <v>NC2023/0010983</v>
      </c>
      <c r="B33" s="1" t="s">
        <v>8</v>
      </c>
      <c r="C33" s="1" t="s">
        <v>122</v>
      </c>
      <c r="D33" s="2">
        <v>45161</v>
      </c>
      <c r="E33" s="1" t="s">
        <v>9</v>
      </c>
      <c r="F33" s="1" t="s">
        <v>123</v>
      </c>
      <c r="G33" s="1" t="s">
        <v>124</v>
      </c>
      <c r="H33" s="1" t="s">
        <v>125</v>
      </c>
      <c r="I33" s="9" t="s">
        <v>123</v>
      </c>
      <c r="J33" s="7"/>
      <c r="K33" t="str">
        <f t="shared" si="0"/>
        <v>INSERT INTO patentes(expediente,tipoPatente,titulo,fecha,estado,inventor, apoderado,cip ) VALUES('NC2023/0010983','Patente de Invención Nacional','SISTEMA Y PROCESO MODULAR DE SEPARACIÓN DE FLUIDOS Y CONVERSIÓN DE RESIDUOS A CARBÓN ACTIVO, COMBUSTIBLES LÍQUIDOS Y GASES COMBUSTIBLES POR ETAPA DUAL DE PIROLISIS, GASIFICACIÓN ACELERADA Y GENERACIÓN DE ENERGIA.','2023-08-23','Publicada sin pago','YUBAR ALBERTO  ARROYAVE RESTREPO','KAREN LORENA BONILLA BARRAGAN','B09B 3/00,C10L 5/00,F23G 7/00');</v>
      </c>
    </row>
    <row r="34" spans="1:11" ht="118.8" x14ac:dyDescent="0.3">
      <c r="A34" s="4" t="str">
        <f>HYPERLINK("http://sipi.sic.gov.co/sipi/View.ashx?5492709","NC2024/0016942")</f>
        <v>NC2024/0016942</v>
      </c>
      <c r="B34" s="1" t="s">
        <v>8</v>
      </c>
      <c r="C34" s="1" t="s">
        <v>126</v>
      </c>
      <c r="D34" s="2">
        <v>45636</v>
      </c>
      <c r="E34" s="1" t="s">
        <v>9</v>
      </c>
      <c r="F34" s="1" t="s">
        <v>127</v>
      </c>
      <c r="G34" s="1" t="s">
        <v>128</v>
      </c>
      <c r="H34" s="1" t="s">
        <v>129</v>
      </c>
      <c r="I34" s="9" t="s">
        <v>563</v>
      </c>
      <c r="J34" s="7"/>
      <c r="K34" t="str">
        <f t="shared" si="0"/>
        <v>INSERT INTO patentes(expediente,tipoPatente,titulo,fecha,estado,inventor, apoderado,cip ) VALUES('NC2024/0016942','Patente de Invención Nacional','MECANISMO DE ENCOFRADO PARA LOSAS HORIZONTALES DE BAJA ALTURA CON TABLEROS DE SOPORTE ACOPLABLES','2024-12-10','Publicada sin pago','RIUSMAN JOSE  RODRIGUEZ MATUTIS ,JOSE DANIEL  RIVERA REYES','HUGO DANIEL   GONZALEZ HERNANDEZ','E04G 11/40,E04G 11/46,E04G 11/48,E04G 13/02,E04D 11/00,E04G 9/05,E04G 11/38,E04G 11/52,E04G 17/07');</v>
      </c>
    </row>
    <row r="35" spans="1:11" ht="66" x14ac:dyDescent="0.3">
      <c r="A35" s="4" t="str">
        <f>HYPERLINK("http://sipi.sic.gov.co/sipi/View.ashx?5533190","NC2025/0000548")</f>
        <v>NC2025/0000548</v>
      </c>
      <c r="B35" s="1" t="s">
        <v>8</v>
      </c>
      <c r="C35" s="1" t="s">
        <v>130</v>
      </c>
      <c r="D35" s="2">
        <v>45677</v>
      </c>
      <c r="E35" s="1" t="s">
        <v>9</v>
      </c>
      <c r="F35" s="1" t="s">
        <v>131</v>
      </c>
      <c r="G35" s="1" t="s">
        <v>132</v>
      </c>
      <c r="H35" s="1" t="s">
        <v>133</v>
      </c>
      <c r="I35" s="9" t="s">
        <v>564</v>
      </c>
      <c r="J35" s="7"/>
      <c r="K35" t="str">
        <f t="shared" si="0"/>
        <v>INSERT INTO patentes(expediente,tipoPatente,titulo,fecha,estado,inventor, apoderado,cip ) VALUES('NC2025/0000548','Patente de Invención Nacional','MÉTODO Y SISTEMA PARA EL DISEÑO Y COSTEO DE SISTEMAS DE TRATAMIENTO DE AGUAS RESIDUALES DE ORIGEN INDUSTRIAL Y DOMÉSTICO','2025-01-20','Publicada sin pago','CARLOS EMIRO FLOREZ LOPEZ,Carlos Alberto Albor Bula','Gonzalo Andrés Carreño González','C02F 9/00,C02F 9/06,C02F 1/24,C02F 1/00');</v>
      </c>
    </row>
    <row r="36" spans="1:11" ht="105.6" x14ac:dyDescent="0.3">
      <c r="A36" s="4" t="str">
        <f>HYPERLINK("http://sipi.sic.gov.co/sipi/View.ashx?4825382","NC2023/0010706")</f>
        <v>NC2023/0010706</v>
      </c>
      <c r="B36" s="1" t="s">
        <v>8</v>
      </c>
      <c r="C36" s="1" t="s">
        <v>134</v>
      </c>
      <c r="D36" s="2">
        <v>45154</v>
      </c>
      <c r="E36" s="1" t="s">
        <v>9</v>
      </c>
      <c r="F36" s="1" t="s">
        <v>135</v>
      </c>
      <c r="G36" s="1" t="s">
        <v>135</v>
      </c>
      <c r="H36" s="1" t="s">
        <v>136</v>
      </c>
      <c r="I36" s="9" t="s">
        <v>135</v>
      </c>
      <c r="J36" s="7"/>
      <c r="K36" t="str">
        <f t="shared" si="0"/>
        <v>INSERT INTO patentes(expediente,tipoPatente,titulo,fecha,estado,inventor, apoderado,cip ) VALUES('NC2023/0010706','Patente de Invención Nacional','TRANSMISIÓN TIPO CARDAN CON EJES DOBLES PARALELOS ENTRE SÍ PARA BICICLETA','2023-08-16','Publicada sin pago','VERNEY ANTONIO BLANDON TORRES','VERNEY ANTONIO BLANDON TORRES','B62M 6/35,B62M 6/75,B62M 11/12,B62M 13/00,B62M 17/00,B62M 25/00,B62K 23/00,B62J 45/00');</v>
      </c>
    </row>
    <row r="37" spans="1:11" ht="52.8" x14ac:dyDescent="0.3">
      <c r="A37" s="4" t="str">
        <f>HYPERLINK("http://sipi.sic.gov.co/sipi/View.ashx?5507913","NC2024/0017696")</f>
        <v>NC2024/0017696</v>
      </c>
      <c r="B37" s="1" t="s">
        <v>8</v>
      </c>
      <c r="C37" s="1" t="s">
        <v>137</v>
      </c>
      <c r="D37" s="2">
        <v>45647</v>
      </c>
      <c r="E37" s="1" t="s">
        <v>9</v>
      </c>
      <c r="F37" s="1" t="s">
        <v>138</v>
      </c>
      <c r="G37" s="1" t="s">
        <v>139</v>
      </c>
      <c r="H37" s="1" t="s">
        <v>140</v>
      </c>
      <c r="I37" s="9" t="s">
        <v>138</v>
      </c>
      <c r="J37" s="7"/>
      <c r="K37" t="str">
        <f t="shared" si="0"/>
        <v>INSERT INTO patentes(expediente,tipoPatente,titulo,fecha,estado,inventor, apoderado,cip ) VALUES('NC2024/0017696','Patente de Invención Nacional','DISPOSITIVO DE SISTEMA MECÁNICO PARA BIODIGESTIÓN ANAERÓBICA','2024-12-21','Publicada sin pago','ROBERTO ANTONIO  CARDONA PEREZ ','JUAN CARLOS  SUAREZ DELGADILLO','C12M 1/02,C12M 1/107,C02F 3/28,C02F 11/04');</v>
      </c>
    </row>
    <row r="38" spans="1:11" ht="92.4" x14ac:dyDescent="0.3">
      <c r="A38" s="4" t="str">
        <f>HYPERLINK("http://sipi.sic.gov.co/sipi/View.ashx?4826551","NC2023/0010754")</f>
        <v>NC2023/0010754</v>
      </c>
      <c r="B38" s="1" t="s">
        <v>8</v>
      </c>
      <c r="C38" s="1" t="s">
        <v>141</v>
      </c>
      <c r="D38" s="2">
        <v>45155</v>
      </c>
      <c r="E38" s="1" t="s">
        <v>9</v>
      </c>
      <c r="F38" s="1" t="s">
        <v>142</v>
      </c>
      <c r="G38" s="1" t="s">
        <v>143</v>
      </c>
      <c r="H38" s="1" t="s">
        <v>144</v>
      </c>
      <c r="I38" s="9" t="s">
        <v>565</v>
      </c>
      <c r="J38" s="7"/>
      <c r="K38" t="str">
        <f t="shared" si="0"/>
        <v>INSERT INTO patentes(expediente,tipoPatente,titulo,fecha,estado,inventor, apoderado,cip ) VALUES('NC2023/0010754','Patente de Invención Nacional','SISTEMA DE FLOTACION POR SATURACION DE GAS EN AGUA MEDIANTE AUTOMATIZACION DEL SISTEMA DE GENERACION DE MICROBURBUJA Y METODO ASOCIADO CON EL MISMO','2023-08-17','Publicada sin pago','WILLIAM  ARIZA FONTECHA,BRAYAN DARIO FORIGUA GONZALEZ,JORGE IVAN  ESLAVA GUZMAN,EMIGDIO JAVIER FUENTES VELASQUEZ,JULIAN DAVID CERON GONZALEZ,ALEX HUMBERTO OTALORA RIVERA','SANDRA MILENA RODRIGUEZ SARMIENTO','G05B 13/00,G05B 17/00');</v>
      </c>
    </row>
    <row r="39" spans="1:11" ht="118.8" x14ac:dyDescent="0.3">
      <c r="A39" s="4" t="str">
        <f>HYPERLINK("http://sipi.sic.gov.co/sipi/View.ashx?5334066","NC2024/0012169")</f>
        <v>NC2024/0012169</v>
      </c>
      <c r="B39" s="1" t="s">
        <v>8</v>
      </c>
      <c r="C39" s="1" t="s">
        <v>145</v>
      </c>
      <c r="D39" s="2">
        <v>45541</v>
      </c>
      <c r="E39" s="1" t="s">
        <v>9</v>
      </c>
      <c r="F39" s="1" t="s">
        <v>146</v>
      </c>
      <c r="G39" s="1" t="s">
        <v>78</v>
      </c>
      <c r="H39" s="1" t="s">
        <v>147</v>
      </c>
      <c r="I39" s="10" t="s">
        <v>566</v>
      </c>
      <c r="J39" s="7"/>
      <c r="K39" t="str">
        <f t="shared" si="0"/>
        <v>INSERT INTO patentes(expediente,tipoPatente,titulo,fecha,estado,inventor, apoderado,cip ) VALUES('NC2024/0012169','Patente de Invención Nacional','DISPOSITIVO Y MÉTODO DE DISPENSACIÓN DE ELEMENTOS FERROMAGNÉTICOS MENORES','2024-09-06','Publicada sin pago','JUAN CARLOS  GARATE AGUIRRE,MARIA CRISTINA JARAMILLO GONZALES,ROLANDO JOSUÉ ANDRADE CALLE,MARCO BENITO REINOSO AVECILLAS,ANDRES EDUARDO CARDENAS SANCHEZ,LUIS EDUARDO ZAMBRANO HERAS','CARLOS REINALDO OLARTE GARCIA','B65B 35/30,B65B 35/56,G07F 11/00,G06F 3/0482,G06F 3/0484,H04N 5/247');</v>
      </c>
    </row>
    <row r="40" spans="1:11" ht="145.19999999999999" x14ac:dyDescent="0.3">
      <c r="A40" s="4" t="str">
        <f>HYPERLINK("http://sipi.sic.gov.co/sipi/View.ashx?4817802","NC2023/0011168")</f>
        <v>NC2023/0011168</v>
      </c>
      <c r="B40" s="1" t="s">
        <v>8</v>
      </c>
      <c r="C40" s="1" t="s">
        <v>148</v>
      </c>
      <c r="D40" s="2">
        <v>45164</v>
      </c>
      <c r="E40" s="1" t="s">
        <v>9</v>
      </c>
      <c r="F40" s="1" t="s">
        <v>149</v>
      </c>
      <c r="G40" s="1" t="s">
        <v>14</v>
      </c>
      <c r="H40" s="1" t="s">
        <v>150</v>
      </c>
      <c r="I40" s="10" t="s">
        <v>567</v>
      </c>
      <c r="J40" s="7"/>
      <c r="K40" t="str">
        <f t="shared" si="0"/>
        <v>INSERT INTO patentes(expediente,tipoPatente,titulo,fecha,estado,inventor, apoderado,cip ) VALUES('NC2023/0011168','Patente de Invención Nacional','MÉTODO PARA PROCESAR PRODUCTOS DE CACAO CON SABOR, OLOR Y REOLOGÍA MEJORADA','2023-08-26','Publicada sin pago','HECTOR HUGO OLARTE NOREÑA,CLAUDIA MILENA  RODRIGUEZ LÓPEZ,MARIA JOSE CHICA MORALES,SERGIO LEONARDO FLOREZ GONZALEZ,Ana Gabriela Rojas Velasquez,IVAN CASTAÑEDA MONSALVE,FRANCISCO JAVIER GOMEZ BUITRAGO','MANUEL ANTONIO GUERRERO GAITAN ','A23G 1/00,A23G 1/52,A23G 1/56,A23G 3/36,A23G 9/32,A23L 5/40,A23L 27/20,A23L 27/29,A23L 33/105,A23G 1/04,A23L 25/10');</v>
      </c>
    </row>
    <row r="41" spans="1:11" ht="79.2" x14ac:dyDescent="0.3">
      <c r="A41" s="4" t="str">
        <f>HYPERLINK("http://sipi.sic.gov.co/sipi/View.ashx?5515878","NC2025/0001288")</f>
        <v>NC2025/0001288</v>
      </c>
      <c r="B41" s="1" t="s">
        <v>8</v>
      </c>
      <c r="C41" s="1" t="s">
        <v>151</v>
      </c>
      <c r="D41" s="2">
        <v>45692</v>
      </c>
      <c r="E41" s="1" t="s">
        <v>9</v>
      </c>
      <c r="F41" s="1" t="s">
        <v>152</v>
      </c>
      <c r="G41" s="1" t="s">
        <v>153</v>
      </c>
      <c r="H41" s="1" t="s">
        <v>154</v>
      </c>
      <c r="I41" s="10" t="s">
        <v>152</v>
      </c>
      <c r="J41" s="7"/>
      <c r="K41" t="str">
        <f t="shared" si="0"/>
        <v>INSERT INTO patentes(expediente,tipoPatente,titulo,fecha,estado,inventor, apoderado,cip ) VALUES('NC2025/0001288','Patente de Invención Nacional','UN LIBRO CON PÁGINAS ILUSTRADAS','2025-02-04','Publicada sin pago','MUDr. MICHAL VIRAG, PhD.','CLEMENCIA DELGADO VILLEGAS','B42D 15/00,B42D 15/02,A47B 19/00,B42D 3/12,G09B 5/06,B42D 3/00');</v>
      </c>
    </row>
    <row r="42" spans="1:11" ht="79.2" x14ac:dyDescent="0.3">
      <c r="A42" s="4" t="str">
        <f>HYPERLINK("http://sipi.sic.gov.co/sipi/View.ashx?5346065","NC2024/0011861")</f>
        <v>NC2024/0011861</v>
      </c>
      <c r="B42" s="1" t="s">
        <v>8</v>
      </c>
      <c r="C42" s="1" t="s">
        <v>155</v>
      </c>
      <c r="D42" s="2">
        <v>45533</v>
      </c>
      <c r="E42" s="1" t="s">
        <v>9</v>
      </c>
      <c r="F42" s="1" t="s">
        <v>156</v>
      </c>
      <c r="G42" s="1" t="s">
        <v>156</v>
      </c>
      <c r="H42" s="1" t="s">
        <v>157</v>
      </c>
      <c r="I42" s="10" t="s">
        <v>156</v>
      </c>
      <c r="J42" s="7"/>
      <c r="K42" t="str">
        <f t="shared" si="0"/>
        <v>INSERT INTO patentes(expediente,tipoPatente,titulo,fecha,estado,inventor, apoderado,cip ) VALUES('NC2024/0011861','Patente de Invención Nacional','PANELES EN CONCRETO ALIGERADOS IGNÍFUGOS, RESISTENTE A LA HUMEDAD Y DE ALTA RESISTENCIA MECÁNICA','2024-08-29','Publicada sin pago','CHRISTIAN CAMILO  MELO RINCÓN','CHRISTIAN CAMILO  MELO RINCÓN','C04B 24/08,C04B 24/12,C04B 103/30,C04B 28/04,C04B 38/00,C04B 40/00');</v>
      </c>
    </row>
    <row r="43" spans="1:11" ht="66" x14ac:dyDescent="0.3">
      <c r="A43" s="4" t="str">
        <f>HYPERLINK("http://sipi.sic.gov.co/sipi/View.ashx?5546091","NC2025/0000998")</f>
        <v>NC2025/0000998</v>
      </c>
      <c r="B43" s="1" t="s">
        <v>8</v>
      </c>
      <c r="C43" s="1" t="s">
        <v>158</v>
      </c>
      <c r="D43" s="2">
        <v>45686</v>
      </c>
      <c r="E43" s="1" t="s">
        <v>9</v>
      </c>
      <c r="F43" s="1" t="s">
        <v>159</v>
      </c>
      <c r="G43" s="1" t="s">
        <v>159</v>
      </c>
      <c r="H43" s="1" t="s">
        <v>160</v>
      </c>
      <c r="I43" s="10" t="s">
        <v>159</v>
      </c>
      <c r="J43" s="7"/>
      <c r="K43" t="str">
        <f t="shared" si="0"/>
        <v>INSERT INTO patentes(expediente,tipoPatente,titulo,fecha,estado,inventor, apoderado,cip ) VALUES('NC2025/0000998','Patente de Invención Nacional','METODO Y SISTEMA PARA INTERCOMUNICAR TODA LA INFORMACION DEL SERVICIO DE TRANSPORTE PUBLICO URBANO CON EL USUARIO','2025-01-29','Publicada sin pago','JOSE GUSTAVO GRISALES GARCIA ','JOSE GUSTAVO GRISALES GARCIA ','G06F 30/18,H04W 92/00,H04W 12/00,H04W 8/02');</v>
      </c>
    </row>
    <row r="44" spans="1:11" ht="66" x14ac:dyDescent="0.3">
      <c r="A44" s="4" t="str">
        <f>HYPERLINK("http://sipi.sic.gov.co/sipi/View.ashx?5295563","NC2024/0010506")</f>
        <v>NC2024/0010506</v>
      </c>
      <c r="B44" s="1" t="s">
        <v>8</v>
      </c>
      <c r="C44" s="1" t="s">
        <v>161</v>
      </c>
      <c r="D44" s="2">
        <v>45504</v>
      </c>
      <c r="E44" s="1" t="s">
        <v>9</v>
      </c>
      <c r="F44" s="1" t="s">
        <v>162</v>
      </c>
      <c r="G44" s="1" t="s">
        <v>163</v>
      </c>
      <c r="H44" s="1" t="s">
        <v>164</v>
      </c>
      <c r="I44" s="10" t="s">
        <v>568</v>
      </c>
      <c r="J44" s="7"/>
      <c r="K44" t="str">
        <f t="shared" si="0"/>
        <v>INSERT INTO patentes(expediente,tipoPatente,titulo,fecha,estado,inventor, apoderado,cip ) VALUES('NC2024/0010506','Patente de Invención Nacional',' PROCEDIMIENTO PARA LA PRODUCCIÓN DE BIOHIDRÓGENO A PARTIR DE LA CODIGESTIÓN DE RESIDUO DE CORTE DE CAÑA DE AZÚCAR Y VINAZAS','2024-07-31','Publicada sin pago','HOWARD DIEGO  RAMÍREZ MALULE,ANDRÉS FERNANDO                       BARRERA ARISTIZÁBAL ,DAVID ANDRÉS     GÓMEZ RÍOS    ','FELIPE EDUARDO  FIGUEROA CARDOZO','C12P 3/00,C12P 19/02,C12P 19/14');</v>
      </c>
    </row>
    <row r="45" spans="1:11" ht="132" x14ac:dyDescent="0.3">
      <c r="A45" s="4" t="str">
        <f>HYPERLINK("http://sipi.sic.gov.co/sipi/View.ashx?5085919","NC2024/0002590")</f>
        <v>NC2024/0002590</v>
      </c>
      <c r="B45" s="1" t="s">
        <v>8</v>
      </c>
      <c r="C45" s="1" t="s">
        <v>165</v>
      </c>
      <c r="D45" s="2">
        <v>45351</v>
      </c>
      <c r="E45" s="1" t="s">
        <v>9</v>
      </c>
      <c r="F45" s="1" t="s">
        <v>166</v>
      </c>
      <c r="G45" s="1" t="s">
        <v>88</v>
      </c>
      <c r="H45" s="1" t="s">
        <v>167</v>
      </c>
      <c r="I45" s="10" t="s">
        <v>569</v>
      </c>
      <c r="J45" s="7"/>
      <c r="K45" t="str">
        <f t="shared" si="0"/>
        <v>INSERT INTO patentes(expediente,tipoPatente,titulo,fecha,estado,inventor, apoderado,cip ) VALUES('NC2024/0002590','Patente de Invención Nacional','SISTEMA DE GENERACIÓN DE HIDRÓGENO VERDE A PARTIR DE UNA CELDA ELECTROLÍTICA DE UNA SOLA CÁMARA EN SECO','2024-02-29','Publicada sin pago','Roberto Calvo','JUAN CARLOS CUESTA QUINTERO','B01D 53/26,C25B 1/04,C25B 9/00,C25B 9/19,C25B 15/027,C25B 15/08,C25B 1/02,C25B 1/044,C25B 15/021,C25B 15/029');</v>
      </c>
    </row>
    <row r="46" spans="1:11" ht="39.6" x14ac:dyDescent="0.3">
      <c r="A46" s="4" t="str">
        <f>HYPERLINK("http://sipi.sic.gov.co/sipi/View.ashx?4756251","NC2023/0008300")</f>
        <v>NC2023/0008300</v>
      </c>
      <c r="B46" s="1" t="s">
        <v>8</v>
      </c>
      <c r="C46" s="1" t="s">
        <v>168</v>
      </c>
      <c r="D46" s="2">
        <v>45102</v>
      </c>
      <c r="E46" s="1" t="s">
        <v>9</v>
      </c>
      <c r="F46" s="1" t="s">
        <v>169</v>
      </c>
      <c r="G46" s="1" t="s">
        <v>170</v>
      </c>
      <c r="H46" s="1" t="s">
        <v>171</v>
      </c>
      <c r="I46" s="10" t="s">
        <v>570</v>
      </c>
      <c r="J46" s="7"/>
      <c r="K46" t="str">
        <f t="shared" si="0"/>
        <v>INSERT INTO patentes(expediente,tipoPatente,titulo,fecha,estado,inventor, apoderado,cip ) VALUES('NC2023/0008300','Patente de Invención Nacional','MATERIAL RER','2023-06-25','Publicada sin pago','William Alberto Soto','William Esteban Soto Posada','E04C 1/00,E04C 2/00,C04B 18/04');</v>
      </c>
    </row>
    <row r="47" spans="1:11" ht="79.2" x14ac:dyDescent="0.3">
      <c r="A47" s="4" t="str">
        <f>HYPERLINK("http://sipi.sic.gov.co/sipi/View.ashx?4841262","NC2023/0011402")</f>
        <v>NC2023/0011402</v>
      </c>
      <c r="B47" s="1" t="s">
        <v>8</v>
      </c>
      <c r="C47" s="1" t="s">
        <v>172</v>
      </c>
      <c r="D47" s="2">
        <v>45167</v>
      </c>
      <c r="E47" s="1" t="s">
        <v>9</v>
      </c>
      <c r="F47" s="1" t="s">
        <v>173</v>
      </c>
      <c r="G47" s="1" t="s">
        <v>174</v>
      </c>
      <c r="H47" s="1" t="s">
        <v>175</v>
      </c>
      <c r="I47" s="10" t="s">
        <v>571</v>
      </c>
      <c r="J47" s="7"/>
      <c r="K47" t="str">
        <f t="shared" si="0"/>
        <v>INSERT INTO patentes(expediente,tipoPatente,titulo,fecha,estado,inventor, apoderado,cip ) VALUES('NC2023/0011402','Patente de Invención Nacional','DISPOSITIVO PARA LA OBTENCIÓN DE GRÁNULOS REDONDEADOS DE NACL','2023-08-29','Publicada sin pago','SANDRO BAEZ PIMIENTO,MARÍA ELENA  HERNÁNDEZ ROJAS ,SANDRA LUZ CASTAÑÓN ALONSO','Natalia Lucia Velez Taborda','B01D 1/18,B01J 2/04,B22D 29/00,C01D 3/22,C30B 29/12,C30B 29/60');</v>
      </c>
    </row>
    <row r="48" spans="1:11" ht="39.6" x14ac:dyDescent="0.3">
      <c r="A48" s="4" t="str">
        <f>HYPERLINK("http://sipi.sic.gov.co/sipi/View.ashx?5581862","NC2025/0002024")</f>
        <v>NC2025/0002024</v>
      </c>
      <c r="B48" s="1" t="s">
        <v>8</v>
      </c>
      <c r="C48" s="1" t="s">
        <v>176</v>
      </c>
      <c r="D48" s="2">
        <v>45712</v>
      </c>
      <c r="E48" s="1" t="s">
        <v>9</v>
      </c>
      <c r="F48" s="1" t="s">
        <v>177</v>
      </c>
      <c r="G48" s="1" t="s">
        <v>177</v>
      </c>
      <c r="H48" s="1" t="s">
        <v>178</v>
      </c>
      <c r="I48" s="10" t="s">
        <v>177</v>
      </c>
      <c r="J48" s="7"/>
      <c r="K48" t="str">
        <f t="shared" si="0"/>
        <v>INSERT INTO patentes(expediente,tipoPatente,titulo,fecha,estado,inventor, apoderado,cip ) VALUES('NC2025/0002024','Patente de Invención Nacional','VÁLVULA DE SENTADO Y SELLO THOR','2025-02-24','Publicada sin pago','Rolando  Olarte Duran','Rolando  Olarte Duran','A01J 9/06,B21K 1/24,B23C 3/05');</v>
      </c>
    </row>
    <row r="49" spans="1:11" ht="105.6" x14ac:dyDescent="0.3">
      <c r="A49" s="4" t="str">
        <f>HYPERLINK("http://sipi.sic.gov.co/sipi/View.ashx?4862408","NC2023/0012144")</f>
        <v>NC2023/0012144</v>
      </c>
      <c r="B49" s="1" t="s">
        <v>8</v>
      </c>
      <c r="C49" s="1" t="s">
        <v>179</v>
      </c>
      <c r="D49" s="2">
        <v>45183</v>
      </c>
      <c r="E49" s="1" t="s">
        <v>9</v>
      </c>
      <c r="F49" s="1" t="s">
        <v>180</v>
      </c>
      <c r="G49" s="1" t="s">
        <v>181</v>
      </c>
      <c r="H49" s="1" t="s">
        <v>182</v>
      </c>
      <c r="I49" s="11" t="s">
        <v>573</v>
      </c>
      <c r="J49" s="7"/>
      <c r="K49" t="str">
        <f t="shared" si="0"/>
        <v>INSERT INTO patentes(expediente,tipoPatente,titulo,fecha,estado,inventor, apoderado,cip ) VALUES('NC2023/0012144','Patente de Invención Nacional','MÉTODOS DE PREPARACIÓN DE GLUFOSINATO','2023-09-14','Publicada sin pago','Chengjun WU,Nan LI,Jianjie XU,Xianzhong TANG,Chunhui MAO,Wenjie TAN','HELENA CAMARGO WILLIAMSON','C07B 55/00,C07B 57/00,C07C 227/36,C07C 229/08,C07C 229/36,C07D 453/04,C07F 9/30,C07F 9/32');</v>
      </c>
    </row>
    <row r="50" spans="1:11" ht="79.2" x14ac:dyDescent="0.3">
      <c r="A50" s="4" t="str">
        <f>HYPERLINK("http://sipi.sic.gov.co/sipi/View.ashx?5564063","NC2025/0001484")</f>
        <v>NC2025/0001484</v>
      </c>
      <c r="B50" s="1" t="s">
        <v>8</v>
      </c>
      <c r="C50" s="1" t="s">
        <v>183</v>
      </c>
      <c r="D50" s="2">
        <v>45700</v>
      </c>
      <c r="E50" s="1" t="s">
        <v>9</v>
      </c>
      <c r="F50" s="1" t="s">
        <v>184</v>
      </c>
      <c r="G50" s="1" t="s">
        <v>185</v>
      </c>
      <c r="H50" s="1" t="s">
        <v>186</v>
      </c>
      <c r="I50" s="11" t="s">
        <v>572</v>
      </c>
      <c r="J50" s="7"/>
      <c r="K50" t="str">
        <f t="shared" si="0"/>
        <v>INSERT INTO patentes(expediente,tipoPatente,titulo,fecha,estado,inventor, apoderado,cip ) VALUES('NC2025/0001484','Patente de Invención Nacional','DISPOSITIVO Y METODO PARA EL SUMINISTRO CONTROLADO DE OXI-HIDROGENO COMBINADO CON COMBUSTIBLE PARA MAQUINAS TERMICAS','2025-02-12','Publicada sin pago','MIGUEL SANTIAGO ARANGO YOVANY ,FRANCISCO JAVIER  GONZÁLES BARRETO','GUILLERMO ANDRES NAVARRO ROMERO','G01R 31/00,C25B 9/17,F02M 21/02,F02M 25/06,F02C 3/00,F02C 3/14');</v>
      </c>
    </row>
    <row r="51" spans="1:11" ht="39.6" x14ac:dyDescent="0.3">
      <c r="A51" s="4" t="str">
        <f>HYPERLINK("http://sipi.sic.gov.co/sipi/View.ashx?5120921","NC2024/0003526")</f>
        <v>NC2024/0003526</v>
      </c>
      <c r="B51" s="1" t="s">
        <v>8</v>
      </c>
      <c r="C51" s="1" t="s">
        <v>187</v>
      </c>
      <c r="D51" s="2">
        <v>45372</v>
      </c>
      <c r="E51" s="1" t="s">
        <v>9</v>
      </c>
      <c r="F51" s="1" t="s">
        <v>188</v>
      </c>
      <c r="G51" s="1" t="s">
        <v>189</v>
      </c>
      <c r="H51" s="1" t="s">
        <v>190</v>
      </c>
      <c r="I51" s="11" t="s">
        <v>188</v>
      </c>
      <c r="J51" s="7"/>
      <c r="K51" t="str">
        <f t="shared" si="0"/>
        <v>INSERT INTO patentes(expediente,tipoPatente,titulo,fecha,estado,inventor, apoderado,cip ) VALUES('NC2024/0003526','Patente de Invención Nacional','MÁQUINA PARA HACER AREPAS Y TORTILLAS MODELO C – 17','2024-03-21','Publicada sin pago','DANIEL MAURICIO  LOVERA PÉREZ','DANIELA NATALIA CORTÉS MURILLO','A21C 15/04,A21C 1/00,A21C 3/00');</v>
      </c>
    </row>
    <row r="52" spans="1:11" ht="79.2" x14ac:dyDescent="0.3">
      <c r="A52" s="4" t="str">
        <f>HYPERLINK("http://sipi.sic.gov.co/sipi/View.ashx?5118202","NC2024/0003382")</f>
        <v>NC2024/0003382</v>
      </c>
      <c r="B52" s="1" t="s">
        <v>8</v>
      </c>
      <c r="C52" s="1" t="s">
        <v>191</v>
      </c>
      <c r="D52" s="2">
        <v>45370</v>
      </c>
      <c r="E52" s="1" t="s">
        <v>9</v>
      </c>
      <c r="F52" s="1" t="s">
        <v>192</v>
      </c>
      <c r="G52" s="1" t="s">
        <v>192</v>
      </c>
      <c r="H52" s="1" t="s">
        <v>193</v>
      </c>
      <c r="I52" s="12" t="s">
        <v>192</v>
      </c>
      <c r="J52" s="7"/>
      <c r="K52" t="str">
        <f t="shared" si="0"/>
        <v>INSERT INTO patentes(expediente,tipoPatente,titulo,fecha,estado,inventor, apoderado,cip ) VALUES('NC2024/0003382','Patente de Invención Nacional','SOPORTE PARA DISPOSITIVOS ELECTRONICOS ADAPTADO AL CUERPO DEL USUARIO','2024-03-19','Publicada sin pago','Juan Carlos Montes Galarza','Juan Carlos Montes Galarza','A47B 23/04,A47B 97/04,A45C 11/00,F16M 11/10,F16M 11/38,F16M 13/00');</v>
      </c>
    </row>
    <row r="53" spans="1:11" ht="211.2" x14ac:dyDescent="0.3">
      <c r="A53" s="4" t="str">
        <f>HYPERLINK("http://sipi.sic.gov.co/sipi/View.ashx?4208540","NC2022/0008115")</f>
        <v>NC2022/0008115</v>
      </c>
      <c r="B53" s="1" t="s">
        <v>8</v>
      </c>
      <c r="C53" s="1" t="s">
        <v>194</v>
      </c>
      <c r="D53" s="2">
        <v>44720</v>
      </c>
      <c r="E53" s="1" t="s">
        <v>9</v>
      </c>
      <c r="F53" s="1" t="s">
        <v>195</v>
      </c>
      <c r="G53" s="1" t="s">
        <v>196</v>
      </c>
      <c r="H53" s="1" t="s">
        <v>197</v>
      </c>
      <c r="I53" s="12" t="s">
        <v>574</v>
      </c>
      <c r="J53" s="7"/>
      <c r="K53" t="str">
        <f t="shared" si="0"/>
        <v>INSERT INTO patentes(expediente,tipoPatente,titulo,fecha,estado,inventor, apoderado,cip ) VALUES('NC2022/0008115','Patente de Invención Nacional','MÉTODO PARA REMOVER CADMIO DE LICOR DE CACAO','2022-06-08','Publicada sin pago','Juan Carlos  Cruz Jimenez ,Ana Lucía  CAMPAÑA PERILLA ,María Camila  CLAVIJO PÉREZ,Johann Faccelo OSMA CRUZ,HECTOR HUGO OLARTE NOREÑA,CLAUDIA MILENA  RODRIGUEZ LÓPEZ,JUAN DIEGO BORRERO JIMENEZ,MABEL JULIANA NOGUERA CONTRERAS,JULIETTE FERNANDA  BERMUDEZ CAMELO,MARIA JOSE CHICA MORALES,NATALIA LÓPEZ BARBOSA,PAOLA RUIZ PUENTES,SERGIO LEONARDO FLOREZ GONZALEZ','CAMILO JAVIER GOMEZ RIVEROS','B01D 15/00,B01J 20/32,B01J 45/00,A23G 1/00,A23L 5/20');</v>
      </c>
    </row>
    <row r="54" spans="1:11" ht="52.8" x14ac:dyDescent="0.3">
      <c r="A54" s="4" t="str">
        <f>HYPERLINK("http://sipi.sic.gov.co/sipi/View.ashx?4875418","NC2023/0012591")</f>
        <v>NC2023/0012591</v>
      </c>
      <c r="B54" s="1" t="s">
        <v>8</v>
      </c>
      <c r="C54" s="1" t="s">
        <v>198</v>
      </c>
      <c r="D54" s="2">
        <v>45193</v>
      </c>
      <c r="E54" s="1" t="s">
        <v>9</v>
      </c>
      <c r="F54" s="1" t="s">
        <v>199</v>
      </c>
      <c r="G54" s="1" t="s">
        <v>199</v>
      </c>
      <c r="H54" s="1" t="s">
        <v>200</v>
      </c>
      <c r="I54" s="12" t="s">
        <v>199</v>
      </c>
      <c r="J54" s="7"/>
      <c r="K54" t="str">
        <f t="shared" si="0"/>
        <v>INSERT INTO patentes(expediente,tipoPatente,titulo,fecha,estado,inventor, apoderado,cip ) VALUES('NC2023/0012591','Patente de Invención Nacional','CHAQUETA ELECTROLUMINISCENTE PARA VÍAS','2023-09-24','Publicada sin pago','Luis David Garcia Giraldo','Luis David Garcia Giraldo','A41D 1/02,H05B 33/00,A41D 3/00,A41D 13/01');</v>
      </c>
    </row>
    <row r="55" spans="1:11" ht="39.6" x14ac:dyDescent="0.3">
      <c r="A55" s="4" t="str">
        <f>HYPERLINK("http://sipi.sic.gov.co/sipi/View.ashx?5614717","NC2025/0003476")</f>
        <v>NC2025/0003476</v>
      </c>
      <c r="B55" s="1" t="s">
        <v>8</v>
      </c>
      <c r="C55" s="1" t="s">
        <v>201</v>
      </c>
      <c r="D55" s="2">
        <v>45733</v>
      </c>
      <c r="E55" s="1" t="s">
        <v>9</v>
      </c>
      <c r="F55" s="1" t="s">
        <v>202</v>
      </c>
      <c r="G55" s="1" t="s">
        <v>10</v>
      </c>
      <c r="H55" s="1" t="s">
        <v>203</v>
      </c>
      <c r="I55" s="12" t="s">
        <v>575</v>
      </c>
      <c r="J55" s="7"/>
      <c r="K55" t="str">
        <f t="shared" si="0"/>
        <v>INSERT INTO patentes(expediente,tipoPatente,titulo,fecha,estado,inventor, apoderado,cip ) VALUES('NC2025/0003476','Patente de Invención Nacional','DISPOSICIÓN INTRODUCIDA EN UNA PLATAFORMA ELEVADORA DE VEHÍCULOS','2025-03-17','Publicada sin pago','GABRIEL STUMPF','CAROLINA VERA MATIZ','B60S 9/215,B60S 1/20,B60S 9/00');</v>
      </c>
    </row>
    <row r="56" spans="1:11" ht="52.8" x14ac:dyDescent="0.3">
      <c r="A56" s="4" t="str">
        <f>HYPERLINK("http://sipi.sic.gov.co/sipi/View.ashx?5614638","NC2025/0003561")</f>
        <v>NC2025/0003561</v>
      </c>
      <c r="B56" s="1" t="s">
        <v>8</v>
      </c>
      <c r="C56" s="1" t="s">
        <v>204</v>
      </c>
      <c r="D56" s="2">
        <v>45734</v>
      </c>
      <c r="E56" s="1" t="s">
        <v>9</v>
      </c>
      <c r="F56" s="1" t="s">
        <v>205</v>
      </c>
      <c r="G56" s="1" t="s">
        <v>33</v>
      </c>
      <c r="H56" s="1" t="s">
        <v>206</v>
      </c>
      <c r="I56" s="12" t="s">
        <v>576</v>
      </c>
      <c r="J56" s="7"/>
      <c r="K56" t="str">
        <f t="shared" si="0"/>
        <v>INSERT INTO patentes(expediente,tipoPatente,titulo,fecha,estado,inventor, apoderado,cip ) VALUES('NC2025/0003561','Patente de Invención Nacional','SALSA PARA HELADOS QUE MANTIENE UNA TEXTURA SUAVE Y UNIFORME A BAJAS TEMPERATURAS','2025-03-18','Publicada sin pago','Angelo Lucas,Alejandra María Beltrán Uribe,Tatiana Andrea Becerra,Marcela Rodriguez Bernal','MAURICIO JARAMILLO CAMPUZANO','A23K 50/48,A23L 29/20,A23L 33/125,A23L 5/43');</v>
      </c>
    </row>
    <row r="57" spans="1:11" ht="52.8" x14ac:dyDescent="0.3">
      <c r="A57" s="4" t="str">
        <f>HYPERLINK("http://sipi.sic.gov.co/sipi/View.ashx?5391150","NC2024/0013380")</f>
        <v>NC2024/0013380</v>
      </c>
      <c r="B57" s="1" t="s">
        <v>8</v>
      </c>
      <c r="C57" s="1" t="s">
        <v>207</v>
      </c>
      <c r="D57" s="2">
        <v>45565</v>
      </c>
      <c r="E57" s="1" t="s">
        <v>9</v>
      </c>
      <c r="F57" s="1" t="s">
        <v>208</v>
      </c>
      <c r="G57" s="1" t="s">
        <v>163</v>
      </c>
      <c r="H57" s="1" t="s">
        <v>209</v>
      </c>
      <c r="I57" s="13" t="s">
        <v>577</v>
      </c>
      <c r="J57" s="7"/>
      <c r="K57" t="str">
        <f t="shared" si="0"/>
        <v>INSERT INTO patentes(expediente,tipoPatente,titulo,fecha,estado,inventor, apoderado,cip ) VALUES('NC2024/0013380','Patente de Invención Nacional','SENSOR Y MÉTODO PARA LA DETECCIÓN DE BIOMOLÉCULAS ASOCIADAS CON PATÓGENOS','2024-09-30','Publicada sin pago','ANDRÉS JARAMILLO BOTERO,CARLOS ENRIQUE  NAVARRO CHICA','FELIPE EDUARDO  FIGUEROA CARDOZO','G01N 33/569,G01N 33/68,G01N 33/53,G01N 33/00');</v>
      </c>
    </row>
    <row r="58" spans="1:11" ht="52.8" x14ac:dyDescent="0.3">
      <c r="A58" s="4" t="str">
        <f>HYPERLINK("http://sipi.sic.gov.co/sipi/View.ashx?5391156","NC2024/0013379")</f>
        <v>NC2024/0013379</v>
      </c>
      <c r="B58" s="1" t="s">
        <v>8</v>
      </c>
      <c r="C58" s="1" t="s">
        <v>210</v>
      </c>
      <c r="D58" s="2">
        <v>45565</v>
      </c>
      <c r="E58" s="1" t="s">
        <v>9</v>
      </c>
      <c r="F58" s="1" t="s">
        <v>211</v>
      </c>
      <c r="G58" s="1" t="s">
        <v>163</v>
      </c>
      <c r="H58" s="1" t="s">
        <v>212</v>
      </c>
      <c r="I58" s="13" t="s">
        <v>577</v>
      </c>
      <c r="J58" s="7"/>
      <c r="K58" t="str">
        <f t="shared" si="0"/>
        <v>INSERT INTO patentes(expediente,tipoPatente,titulo,fecha,estado,inventor, apoderado,cip ) VALUES('NC2024/0013379','Patente de Invención Nacional','SENSOR PARA LA DETECCIÓN DE ÁCIDO SALICÍLICO EN PLANTAS','2024-09-30','Publicada sin pago','ANDRÉS JARAMILLO BOTERO,Drochss Valencia ,Sammy Perdomo','FELIPE EDUARDO  FIGUEROA CARDOZO','G01N 33/00,G01N 17/00,G01N 33/68,G01N 27/00');</v>
      </c>
    </row>
    <row r="59" spans="1:11" ht="79.2" x14ac:dyDescent="0.3">
      <c r="A59" s="4" t="str">
        <f>HYPERLINK("http://sipi.sic.gov.co/sipi/View.ashx?5343840","NC2024/0011712")</f>
        <v>NC2024/0011712</v>
      </c>
      <c r="B59" s="1" t="s">
        <v>8</v>
      </c>
      <c r="C59" s="1" t="s">
        <v>213</v>
      </c>
      <c r="D59" s="2">
        <v>45532</v>
      </c>
      <c r="E59" s="1" t="s">
        <v>9</v>
      </c>
      <c r="F59" s="1" t="s">
        <v>214</v>
      </c>
      <c r="G59" s="1" t="s">
        <v>163</v>
      </c>
      <c r="H59" s="1" t="s">
        <v>215</v>
      </c>
      <c r="I59" s="13" t="s">
        <v>578</v>
      </c>
      <c r="J59" s="7"/>
      <c r="K59" t="str">
        <f t="shared" si="0"/>
        <v>INSERT INTO patentes(expediente,tipoPatente,titulo,fecha,estado,inventor, apoderado,cip ) VALUES('NC2024/0011712','Patente de Invención Nacional','MÉTODO DE OBTENCIÓN DE NANOPOLIMEROS FOTOSENSIBLES PARA ENCAPSULACIÓN DE MOLÉCULAS HIDROFÍLICAS O HIDROFÓBICAS','2024-08-28','Publicada sin pago','LINA MARCELA HOYOS PALACIO','FELIPE EDUARDO  FIGUEROA CARDOZO','A01H 5/00,A61K 9/00,A61K 9/127,A61K 38/00,A61K 39/00,A61K 39/395');</v>
      </c>
    </row>
    <row r="60" spans="1:11" ht="26.4" x14ac:dyDescent="0.3">
      <c r="A60" s="4" t="str">
        <f>HYPERLINK("http://sipi.sic.gov.co/sipi/View.ashx?5377374","NC2024/0013544")</f>
        <v>NC2024/0013544</v>
      </c>
      <c r="B60" s="1" t="s">
        <v>8</v>
      </c>
      <c r="C60" s="1" t="s">
        <v>216</v>
      </c>
      <c r="D60" s="2">
        <v>45569</v>
      </c>
      <c r="E60" s="1" t="s">
        <v>9</v>
      </c>
      <c r="F60" s="1" t="s">
        <v>217</v>
      </c>
      <c r="G60" s="1" t="s">
        <v>78</v>
      </c>
      <c r="H60" s="1" t="s">
        <v>218</v>
      </c>
      <c r="I60" s="13" t="s">
        <v>566</v>
      </c>
      <c r="J60" s="7"/>
      <c r="K60" t="str">
        <f t="shared" si="0"/>
        <v>INSERT INTO patentes(expediente,tipoPatente,titulo,fecha,estado,inventor, apoderado,cip ) VALUES('NC2024/0013544','Patente de Invención Nacional','APARATO PORTÁTIL PARA MEDICIÓN DE LA CALIDAD DEL AIRE','2024-10-04','Publicada sin pago','Juan Carlos Cobos Torres,Cristian Fernando  Morocho Quishpi ','CARLOS REINALDO OLARTE GARCIA','F24F 110/22,F24F 110/52');</v>
      </c>
    </row>
    <row r="61" spans="1:11" ht="79.2" x14ac:dyDescent="0.3">
      <c r="A61" s="4" t="str">
        <f>HYPERLINK("http://sipi.sic.gov.co/sipi/View.ashx?5511282","NC2024/0018012")</f>
        <v>NC2024/0018012</v>
      </c>
      <c r="B61" s="1" t="s">
        <v>8</v>
      </c>
      <c r="C61" s="1" t="s">
        <v>219</v>
      </c>
      <c r="D61" s="2">
        <v>45652</v>
      </c>
      <c r="E61" s="1" t="s">
        <v>9</v>
      </c>
      <c r="F61" s="1" t="s">
        <v>220</v>
      </c>
      <c r="G61" s="1" t="s">
        <v>60</v>
      </c>
      <c r="H61" s="1" t="s">
        <v>221</v>
      </c>
      <c r="I61" s="13" t="s">
        <v>552</v>
      </c>
      <c r="J61" s="7"/>
      <c r="K61" t="str">
        <f t="shared" si="0"/>
        <v>INSERT INTO patentes(expediente,tipoPatente,titulo,fecha,estado,inventor, apoderado,cip ) VALUES('NC2024/0018012','Patente de Invención Nacional','SISTEMA DE TREN MOTOR PARA VEHICULO ELECTRICO DE TRANSPORTE DE CARGA','2024-12-26','Publicada sin pago','Rosemberg ESPINEL FORERO','LIZBETH CALVO','B60P 1/00,B60P 1/64,B60P 3/00,B60P 9/00,B60L 7/26,B60T 8/1761');</v>
      </c>
    </row>
    <row r="62" spans="1:11" ht="118.8" x14ac:dyDescent="0.3">
      <c r="A62" s="4" t="str">
        <f>HYPERLINK("http://sipi.sic.gov.co/sipi/View.ashx?5511290","NC2024/0018021")</f>
        <v>NC2024/0018021</v>
      </c>
      <c r="B62" s="1" t="s">
        <v>8</v>
      </c>
      <c r="C62" s="1" t="s">
        <v>222</v>
      </c>
      <c r="D62" s="2">
        <v>45652</v>
      </c>
      <c r="E62" s="1" t="s">
        <v>9</v>
      </c>
      <c r="F62" s="1" t="s">
        <v>223</v>
      </c>
      <c r="G62" s="1" t="s">
        <v>60</v>
      </c>
      <c r="H62" s="1" t="s">
        <v>224</v>
      </c>
      <c r="I62" s="13" t="s">
        <v>552</v>
      </c>
      <c r="J62" s="7"/>
      <c r="K62" t="str">
        <f t="shared" si="0"/>
        <v>INSERT INTO patentes(expediente,tipoPatente,titulo,fecha,estado,inventor, apoderado,cip ) VALUES('NC2024/0018021','Patente de Invención Nacional','SISTEMA DE DIRECCION PARA VEHICULO ELECTRICO DE TRANSPORTE DE CARGA','2024-12-26','Publicada sin pago','CARLOS MIGUEL MONTENEGRO PEREZ,Rosemberg Espinel Forero,JOHN FEDDY  TRAIANA VARGAS,JOSE ISAIAS MONTAÑA GALAN,ROBERTO IREGUI,DIEGO FERNANDO MOJICA','LIZBETH CALVO','B60P 1/00,B60P 1/64,B60P 3/00,B60P 9/00,B62D 1/04,B62D 1/183,G01B 5/00,G01B 5/08,G01M 17/06');</v>
      </c>
    </row>
    <row r="63" spans="1:11" ht="66" x14ac:dyDescent="0.3">
      <c r="A63" s="4" t="str">
        <f>HYPERLINK("http://sipi.sic.gov.co/sipi/View.ashx?5391803","NC2024/0013495")</f>
        <v>NC2024/0013495</v>
      </c>
      <c r="B63" s="1" t="s">
        <v>8</v>
      </c>
      <c r="C63" s="1" t="s">
        <v>225</v>
      </c>
      <c r="D63" s="2">
        <v>45568</v>
      </c>
      <c r="E63" s="1" t="s">
        <v>9</v>
      </c>
      <c r="F63" s="1" t="s">
        <v>226</v>
      </c>
      <c r="G63" s="1" t="s">
        <v>11</v>
      </c>
      <c r="H63" s="1" t="s">
        <v>227</v>
      </c>
      <c r="I63" s="13" t="s">
        <v>579</v>
      </c>
      <c r="J63" s="7"/>
      <c r="K63" t="str">
        <f t="shared" si="0"/>
        <v>INSERT INTO patentes(expediente,tipoPatente,titulo,fecha,estado,inventor, apoderado,cip ) VALUES('NC2024/0013495','Patente de Invención Nacional','TABLETA MULTIACTIVOS EN EL TRATAMIENTO Y CONTROL DE DOLOR SEVERO CRÓNICO Y MÉTODO DE PREPARACIÓN','2024-10-03','Publicada sin pago','Cecilia Jannette MUÑOZ MARTINEZ,Marco Antonio ESPINOSA OLIVARES,Paola Yazmín OLLERVIDES RUBIO,José Guillermo SANDER PADILLA,Jorge Alejandro GONZÁLEZ CANUDAS','ALICIA LLOREDA RICAURTE','A61K 31/415,A61K 31/635,A61P 29/00');</v>
      </c>
    </row>
    <row r="64" spans="1:11" ht="66" x14ac:dyDescent="0.3">
      <c r="A64" s="4" t="str">
        <f>HYPERLINK("http://sipi.sic.gov.co/sipi/View.ashx?5392023","NC2024/0013497")</f>
        <v>NC2024/0013497</v>
      </c>
      <c r="B64" s="1" t="s">
        <v>8</v>
      </c>
      <c r="C64" s="1" t="s">
        <v>228</v>
      </c>
      <c r="D64" s="2">
        <v>45568</v>
      </c>
      <c r="E64" s="1" t="s">
        <v>9</v>
      </c>
      <c r="F64" s="1" t="s">
        <v>226</v>
      </c>
      <c r="G64" s="1" t="s">
        <v>11</v>
      </c>
      <c r="H64" s="1" t="s">
        <v>229</v>
      </c>
      <c r="I64" s="13" t="s">
        <v>579</v>
      </c>
      <c r="J64" s="7"/>
      <c r="K64" t="str">
        <f t="shared" si="0"/>
        <v>INSERT INTO patentes(expediente,tipoPatente,titulo,fecha,estado,inventor, apoderado,cip ) VALUES('NC2024/0013497','Patente de Invención Nacional','COMBINACIÓN DE CELECOXIB - ACETAMINOFÉN DE ESTABILIDAD MEJORADA Y PROCEDIMIENTO PARA SU PREPARACIÓN','2024-10-03','Publicada sin pago','Cecilia Jannette MUÑOZ MARTINEZ,Marco Antonio ESPINOSA OLIVARES,Paola Yazmín OLLERVIDES RUBIO,José Guillermo SANDER PADILLA,Jorge Alejandro GONZÁLEZ CANUDAS','ALICIA LLOREDA RICAURTE','A61K 9/20,A61K 9/16,A61K 9/00,A61K 31/165');</v>
      </c>
    </row>
    <row r="65" spans="1:11" ht="92.4" x14ac:dyDescent="0.3">
      <c r="A65" s="4" t="str">
        <f>HYPERLINK("http://sipi.sic.gov.co/sipi/View.ashx?5599116","NC2025/0002992")</f>
        <v>NC2025/0002992</v>
      </c>
      <c r="B65" s="1" t="s">
        <v>8</v>
      </c>
      <c r="C65" s="1" t="s">
        <v>230</v>
      </c>
      <c r="D65" s="2">
        <v>45723</v>
      </c>
      <c r="E65" s="1" t="s">
        <v>9</v>
      </c>
      <c r="F65" s="1" t="s">
        <v>231</v>
      </c>
      <c r="G65" s="1" t="s">
        <v>185</v>
      </c>
      <c r="H65" s="1" t="s">
        <v>232</v>
      </c>
      <c r="I65" s="13" t="s">
        <v>580</v>
      </c>
      <c r="J65" s="7"/>
      <c r="K65" t="str">
        <f t="shared" si="0"/>
        <v>INSERT INTO patentes(expediente,tipoPatente,titulo,fecha,estado,inventor, apoderado,cip ) VALUES('NC2025/0002992','Patente de Invención Nacional','UNIDAD HIDRÁULICA MÓVIL PARA EXTRACCIÓN, INSERCIÓN Y DESPLAZAMIENTO DE TUBERÍAS Y/O HERRAMIENTAS EN POZOS DE PETRÓLEO Y SU MÉTODO DE ENSAMBLAJE PARA LA INTERVENCIÓN DE UN POZO','2025-03-07','Publicada sin pago','IVAN JOYA ALVAREZ','GUILLERMO ANDRES NAVARRO ROMERO','E21B 19/084,E21B 19/02,B66D 1/44,B66D 1/58,E21B 19/08');</v>
      </c>
    </row>
    <row r="66" spans="1:11" ht="92.4" x14ac:dyDescent="0.3">
      <c r="A66" s="4" t="str">
        <f>HYPERLINK("http://sipi.sic.gov.co/sipi/View.ashx?5412698","NC2024/0013829")</f>
        <v>NC2024/0013829</v>
      </c>
      <c r="B66" s="1" t="s">
        <v>8</v>
      </c>
      <c r="C66" s="1" t="s">
        <v>233</v>
      </c>
      <c r="D66" s="2">
        <v>45580</v>
      </c>
      <c r="E66" s="1" t="s">
        <v>9</v>
      </c>
      <c r="F66" s="1" t="s">
        <v>234</v>
      </c>
      <c r="G66" s="1" t="s">
        <v>235</v>
      </c>
      <c r="H66" s="1" t="s">
        <v>236</v>
      </c>
      <c r="I66" s="14" t="s">
        <v>581</v>
      </c>
      <c r="J66" s="7"/>
      <c r="K66" t="str">
        <f t="shared" si="0"/>
        <v>INSERT INTO patentes(expediente,tipoPatente,titulo,fecha,estado,inventor, apoderado,cip ) VALUES('NC2024/0013829','Patente de Invención Nacional','SISTEMA DE CONFIGURACIÓN REMOTA PARA TELEREHABILITACIÓN','2024-10-15','Publicada sin pago','ROBERTO FERRO ESCOBAR,LILIA EDITH   APARICIO PICO,PAULO CESAR  CORONADO SÁNCHEZ','JUAN CARLOS SERNA ROJAS','H04L 12/403,H04W 72/12,H04W 84/18,G01S 1/02,G01S 1/20,G01S 5/02,G01S 5/10');</v>
      </c>
    </row>
    <row r="67" spans="1:11" ht="39.6" x14ac:dyDescent="0.3">
      <c r="A67" s="4" t="str">
        <f>HYPERLINK("http://sipi.sic.gov.co/sipi/View.ashx?5562215","NC2025/0001448")</f>
        <v>NC2025/0001448</v>
      </c>
      <c r="B67" s="1" t="s">
        <v>8</v>
      </c>
      <c r="C67" s="1" t="s">
        <v>237</v>
      </c>
      <c r="D67" s="2">
        <v>45699</v>
      </c>
      <c r="E67" s="1" t="s">
        <v>9</v>
      </c>
      <c r="F67" s="1" t="s">
        <v>238</v>
      </c>
      <c r="G67" s="1" t="s">
        <v>239</v>
      </c>
      <c r="H67" s="1" t="s">
        <v>240</v>
      </c>
      <c r="I67" s="14" t="s">
        <v>238</v>
      </c>
      <c r="J67" s="7"/>
      <c r="K67" t="str">
        <f t="shared" ref="K67:K130" si="1">"INSERT INTO patentes(expediente,tipoPatente,titulo,fecha,estado,inventor, apoderado,cip ) VALUES('"&amp;TRIM(CLEAN(A67))&amp;"','"&amp;CLEAN(B67)&amp;"','"&amp;CLEAN(C67)&amp;"','"&amp;TEXT(D67,"yyyy-MM-dd")&amp;"','"&amp;CLEAN(E67)&amp;"','"&amp;CLEAN(F67)&amp;"','"&amp;CLEAN(G67)&amp;"','"&amp;TRIM(CLEAN(H67))&amp;"');"</f>
        <v>INSERT INTO patentes(expediente,tipoPatente,titulo,fecha,estado,inventor, apoderado,cip ) VALUES('NC2025/0001448','Patente de Invención Nacional','COMPUESTO LAMINADO PARA LA CONDUCCIÓN DE AGUAS','2025-02-11','Publicada sin pago','JUAN PABLO ACEVEDO SUAREZ','RODRIGUEZ VARELA PEDRO HORACIO','E02D 17/20,E02D 29/02,E02D 31/02');</v>
      </c>
    </row>
    <row r="68" spans="1:11" ht="79.2" x14ac:dyDescent="0.3">
      <c r="A68" s="4" t="str">
        <f>HYPERLINK("http://sipi.sic.gov.co/sipi/View.ashx?5505873","NC2024/0017615")</f>
        <v>NC2024/0017615</v>
      </c>
      <c r="B68" s="1" t="s">
        <v>8</v>
      </c>
      <c r="C68" s="1" t="s">
        <v>241</v>
      </c>
      <c r="D68" s="2">
        <v>45646</v>
      </c>
      <c r="E68" s="1" t="s">
        <v>9</v>
      </c>
      <c r="F68" s="1" t="s">
        <v>242</v>
      </c>
      <c r="G68" s="1" t="s">
        <v>243</v>
      </c>
      <c r="H68" s="1" t="s">
        <v>244</v>
      </c>
      <c r="I68" s="14" t="s">
        <v>582</v>
      </c>
      <c r="J68" s="7"/>
      <c r="K68" t="str">
        <f t="shared" si="1"/>
        <v>INSERT INTO patentes(expediente,tipoPatente,titulo,fecha,estado,inventor, apoderado,cip ) VALUES('NC2024/0017615','Patente de Invención Nacional','DISPOSITIVO PORTÁTIL Y MODULAR DESTINADO AL APRENDIZAJE DE LOS FUNDAMENTOS Y LA LÓGICA MATEMÁTICA DE LA MÚSICA','2024-12-20','Publicada sin pago','GUSTAVO ADOLFO  TORRES DUQUE','LUIS ANGEL MADRID BERROTERÁN','G09B 15/00,G09B 15/02,G09B 15/04,G10G 1/04,G10H 1/00,G10H 1/32');</v>
      </c>
    </row>
    <row r="69" spans="1:11" ht="26.4" x14ac:dyDescent="0.3">
      <c r="A69" s="4" t="str">
        <f>HYPERLINK("http://sipi.sic.gov.co/sipi/View.ashx?4902034","NC2023/0013493")</f>
        <v>NC2023/0013493</v>
      </c>
      <c r="B69" s="1" t="s">
        <v>8</v>
      </c>
      <c r="C69" s="1" t="s">
        <v>245</v>
      </c>
      <c r="D69" s="2">
        <v>45211</v>
      </c>
      <c r="E69" s="1" t="s">
        <v>9</v>
      </c>
      <c r="F69" s="1" t="s">
        <v>246</v>
      </c>
      <c r="G69" s="1" t="s">
        <v>246</v>
      </c>
      <c r="H69" s="1" t="s">
        <v>247</v>
      </c>
      <c r="I69" s="14" t="s">
        <v>246</v>
      </c>
      <c r="J69" s="7"/>
      <c r="K69" t="str">
        <f t="shared" si="1"/>
        <v>INSERT INTO patentes(expediente,tipoPatente,titulo,fecha,estado,inventor, apoderado,cip ) VALUES('NC2023/0013493','Patente de Invención Nacional','TOSTADOR Y FILTRADOR DE SUSTANCIAS EN GRANOS','2023-10-12','Publicada sin pago','Gerson Freive Restrepo','Gerson Freive Restrepo','A23N 12/00,A47J 31/00');</v>
      </c>
    </row>
    <row r="70" spans="1:11" ht="66" x14ac:dyDescent="0.3">
      <c r="A70" s="4" t="str">
        <f>HYPERLINK("http://sipi.sic.gov.co/sipi/View.ashx?5614657","NC2025/0003474")</f>
        <v>NC2025/0003474</v>
      </c>
      <c r="B70" s="1" t="s">
        <v>8</v>
      </c>
      <c r="C70" s="1" t="s">
        <v>248</v>
      </c>
      <c r="D70" s="2">
        <v>45733</v>
      </c>
      <c r="E70" s="1" t="s">
        <v>9</v>
      </c>
      <c r="F70" s="1" t="s">
        <v>202</v>
      </c>
      <c r="G70" s="1" t="s">
        <v>10</v>
      </c>
      <c r="H70" s="1" t="s">
        <v>249</v>
      </c>
      <c r="I70" s="14" t="s">
        <v>575</v>
      </c>
      <c r="J70" s="7"/>
      <c r="K70" t="str">
        <f t="shared" si="1"/>
        <v>INSERT INTO patentes(expediente,tipoPatente,titulo,fecha,estado,inventor, apoderado,cip ) VALUES('NC2025/0003474','Patente de Invención Nacional','AUTOMATIZACIÓN PARA LA TRANSFORMACIÓN DE LA POSICIÓN DE ESCALÓN A PLATAFORMA O VICEVERSA EN ELEVADOR TIPO ESCALERA-PLATAFORMA','2025-03-17','Publicada sin pago','GABRIEL STUMPF','CAROLINA VERA MATIZ','B41B 11/30,B41B 11/34,B41B 11/92,B65F 3/08,B65F 3/18');</v>
      </c>
    </row>
    <row r="71" spans="1:11" ht="105.6" x14ac:dyDescent="0.3">
      <c r="A71" s="4" t="str">
        <f>HYPERLINK("http://sipi.sic.gov.co/sipi/View.ashx?4888453","NC2023/0013381")</f>
        <v>NC2023/0013381</v>
      </c>
      <c r="B71" s="1" t="s">
        <v>8</v>
      </c>
      <c r="C71" s="1" t="s">
        <v>250</v>
      </c>
      <c r="D71" s="2">
        <v>45208</v>
      </c>
      <c r="E71" s="1" t="s">
        <v>9</v>
      </c>
      <c r="F71" s="1" t="s">
        <v>251</v>
      </c>
      <c r="G71" s="1" t="s">
        <v>252</v>
      </c>
      <c r="H71" s="1" t="s">
        <v>253</v>
      </c>
      <c r="I71" s="14" t="s">
        <v>583</v>
      </c>
      <c r="J71" s="7"/>
      <c r="K71" t="str">
        <f t="shared" si="1"/>
        <v>INSERT INTO patentes(expediente,tipoPatente,titulo,fecha,estado,inventor, apoderado,cip ) VALUES('NC2023/0013381','Patente de Invención Nacional','SISTEMA ELECTRÓNICO PARA LA IDENTIFICACIÓN DE LA FRECUENCIA DE CAMBIOS DE POSICIÓN Y PREVENCIÓN DE CAÍDAS','2023-10-09','Publicada sin pago','PEDRO ANTONIO AYA PARRA,OLGA LUCIA CORTES FERREIRA,JEFFERSON STEVEN SARMIENTO ROJAS','XIMENA BETANCOURT DE CASTRO','G08B 1/02,G08B 25/10,A44C 5/00,A61B 5/00,A61B 5/021,A61B 5/11,G08B 21/02,G08B 21/04');</v>
      </c>
    </row>
    <row r="72" spans="1:11" ht="92.4" x14ac:dyDescent="0.3">
      <c r="A72" s="4" t="str">
        <f>HYPERLINK("http://sipi.sic.gov.co/sipi/View.ashx?5485081","NC2024/0016702")</f>
        <v>NC2024/0016702</v>
      </c>
      <c r="B72" s="1" t="s">
        <v>8</v>
      </c>
      <c r="C72" s="1" t="s">
        <v>254</v>
      </c>
      <c r="D72" s="2">
        <v>45630</v>
      </c>
      <c r="E72" s="1" t="s">
        <v>9</v>
      </c>
      <c r="F72" s="1" t="s">
        <v>255</v>
      </c>
      <c r="G72" s="1" t="s">
        <v>256</v>
      </c>
      <c r="H72" s="1" t="s">
        <v>257</v>
      </c>
      <c r="I72" s="14" t="s">
        <v>584</v>
      </c>
      <c r="J72" s="7"/>
      <c r="K72" t="str">
        <f t="shared" si="1"/>
        <v>INSERT INTO patentes(expediente,tipoPatente,titulo,fecha,estado,inventor, apoderado,cip ) VALUES('NC2024/0016702','Patente de Invención Nacional','COMPOSICIÓN ANTIMICROBIANA','2024-12-04','Publicada sin pago','Denisse Adriana  Oñate Pérez,Rita Esther   García Pasiminio,Guillermo Andrés   Viecco Castillo','JUAN PABLO CADENA SARMIENTO','A01N 25/04,A01N 31/02,A01N 37/12,A61K 31/00,A61L 2/18,A01P 1/00,A23L 5/20');</v>
      </c>
    </row>
    <row r="73" spans="1:11" ht="132" x14ac:dyDescent="0.3">
      <c r="A73" s="4" t="str">
        <f>HYPERLINK("http://sipi.sic.gov.co/sipi/View.ashx?4898169","NC2023/0013411")</f>
        <v>NC2023/0013411</v>
      </c>
      <c r="B73" s="1" t="s">
        <v>8</v>
      </c>
      <c r="C73" s="1" t="s">
        <v>258</v>
      </c>
      <c r="D73" s="2">
        <v>45209</v>
      </c>
      <c r="E73" s="1" t="s">
        <v>9</v>
      </c>
      <c r="F73" s="1" t="s">
        <v>259</v>
      </c>
      <c r="G73" s="1" t="s">
        <v>260</v>
      </c>
      <c r="H73" s="1" t="s">
        <v>261</v>
      </c>
      <c r="I73" s="14" t="s">
        <v>585</v>
      </c>
      <c r="J73" s="7"/>
      <c r="K73" t="str">
        <f t="shared" si="1"/>
        <v>INSERT INTO patentes(expediente,tipoPatente,titulo,fecha,estado,inventor, apoderado,cip ) VALUES('NC2023/0013411','Patente de Invención Nacional','SISTEMA DE ENTREGA DE POLVO EXCIPIENTE','2023-10-10','Publicada sin pago','Michael GULYAS,Dean HARRIS','MARGARITA CASTELLANOS ABONDANO','C09D 129/04,A61K 9/28,A61K 9/32,A61K 9/34,A61K 9/36,A61K 9/42,A61K 47/24,A61K 47/32,C08L 5/14,C08L 91/00');</v>
      </c>
    </row>
    <row r="74" spans="1:11" ht="66" x14ac:dyDescent="0.3">
      <c r="A74" s="4" t="str">
        <f>HYPERLINK("http://sipi.sic.gov.co/sipi/View.ashx?5511173","NC2024/0017988")</f>
        <v>NC2024/0017988</v>
      </c>
      <c r="B74" s="1" t="s">
        <v>8</v>
      </c>
      <c r="C74" s="1" t="s">
        <v>262</v>
      </c>
      <c r="D74" s="2">
        <v>45652</v>
      </c>
      <c r="E74" s="1" t="s">
        <v>9</v>
      </c>
      <c r="F74" s="1" t="s">
        <v>263</v>
      </c>
      <c r="G74" s="1" t="s">
        <v>60</v>
      </c>
      <c r="H74" s="1" t="s">
        <v>264</v>
      </c>
      <c r="I74" s="15" t="s">
        <v>552</v>
      </c>
      <c r="J74" s="7"/>
      <c r="K74" t="str">
        <f t="shared" si="1"/>
        <v>INSERT INTO patentes(expediente,tipoPatente,titulo,fecha,estado,inventor, apoderado,cip ) VALUES('NC2024/0017988','Patente de Invención Nacional','BIOFILTRO MODULAR DE FLUJO MIXTO PARA TRATAMIENTO DE AGUAS RESIDUALES CON MATERIAL VEGETAL DE DESHECHOS AGROINDUSTRIALES COMO LECHO FILTRANTE','2024-12-26','Publicada sin pago','CINTYA KATHERINE OJEDA RIANOS,JORGE ANDRÉS PEREZ GAMBOA','LIZBETH CALVO','C02F 3/00,C02F 9/00,C02F 3/26,C02F 3/34');</v>
      </c>
    </row>
    <row r="75" spans="1:11" ht="79.2" x14ac:dyDescent="0.3">
      <c r="A75" s="4" t="str">
        <f>HYPERLINK("http://sipi.sic.gov.co/sipi/View.ashx?5624521","NC2025/0003809")</f>
        <v>NC2025/0003809</v>
      </c>
      <c r="B75" s="1" t="s">
        <v>8</v>
      </c>
      <c r="C75" s="1" t="s">
        <v>265</v>
      </c>
      <c r="D75" s="2">
        <v>45741</v>
      </c>
      <c r="E75" s="1" t="s">
        <v>9</v>
      </c>
      <c r="F75" s="1" t="s">
        <v>266</v>
      </c>
      <c r="G75" s="1" t="s">
        <v>267</v>
      </c>
      <c r="H75" s="1" t="s">
        <v>268</v>
      </c>
      <c r="I75" s="15" t="s">
        <v>586</v>
      </c>
      <c r="J75" s="7"/>
      <c r="K75" t="str">
        <f t="shared" si="1"/>
        <v>INSERT INTO patentes(expediente,tipoPatente,titulo,fecha,estado,inventor, apoderado,cip ) VALUES('NC2025/0003809','Patente de Invención Nacional','PROCESO DE FABRICACIÓN DE UN EMPAQUE ANULAR PARA CAJA DE EMPAQUETADURA EN BOMBAS RECIPROCANTES Y EMPAQUE PARA CAJA DE EMPAQUETADURA EN BOMBAS RECIPROCANTES','2025-03-25','Publicada sin pago','JAIME EDUARDO CAICEDO VARGAS','DAVID JESUS MENDEZ VILLAMIZAR','B29C 41/36,B29C 44/16,B29C 49/52');</v>
      </c>
    </row>
    <row r="76" spans="1:11" ht="105.6" x14ac:dyDescent="0.3">
      <c r="A76" s="4" t="str">
        <f>HYPERLINK("http://sipi.sic.gov.co/sipi/View.ashx?5417562","NC2024/0014231")</f>
        <v>NC2024/0014231</v>
      </c>
      <c r="B76" s="1" t="s">
        <v>8</v>
      </c>
      <c r="C76" s="1" t="s">
        <v>269</v>
      </c>
      <c r="D76" s="2">
        <v>45583</v>
      </c>
      <c r="E76" s="1" t="s">
        <v>9</v>
      </c>
      <c r="F76" s="1" t="s">
        <v>270</v>
      </c>
      <c r="G76" s="1" t="s">
        <v>78</v>
      </c>
      <c r="H76" s="1" t="s">
        <v>271</v>
      </c>
      <c r="I76" s="15" t="s">
        <v>566</v>
      </c>
      <c r="J76" s="7"/>
      <c r="K76" t="str">
        <f t="shared" si="1"/>
        <v>INSERT INTO patentes(expediente,tipoPatente,titulo,fecha,estado,inventor, apoderado,cip ) VALUES('NC2024/0014231','Patente de Invención Nacional','MÉTODO DE MONITOREO Y ANÁLISIS DE IMÁGENES BIOMÉDICAS','2024-10-18','Publicada sin pago','Orlando  Álvarez Llamoza,Carlos Armando  Echeverría Avendaño,Kay Andrés  Tucci Kellerer','CARLOS REINALDO OLARTE GARCIA','A61B 1/00,A61B 3/10,A61B 5/00,A61B 5/02,A61B 5/11,A61B 10/00,A61B 17/00,A61B 17/70');</v>
      </c>
    </row>
    <row r="77" spans="1:11" ht="79.2" x14ac:dyDescent="0.3">
      <c r="A77" s="4" t="str">
        <f>HYPERLINK("http://sipi.sic.gov.co/sipi/View.ashx?5648740","NC2025/0004578")</f>
        <v>NC2025/0004578</v>
      </c>
      <c r="B77" s="1" t="s">
        <v>8</v>
      </c>
      <c r="C77" s="1" t="s">
        <v>272</v>
      </c>
      <c r="D77" s="2">
        <v>45756</v>
      </c>
      <c r="E77" s="1" t="s">
        <v>9</v>
      </c>
      <c r="F77" s="1" t="s">
        <v>273</v>
      </c>
      <c r="G77" s="1" t="s">
        <v>274</v>
      </c>
      <c r="H77" s="1" t="s">
        <v>275</v>
      </c>
      <c r="I77" s="15" t="s">
        <v>273</v>
      </c>
      <c r="J77" s="7"/>
      <c r="K77" t="str">
        <f t="shared" si="1"/>
        <v>INSERT INTO patentes(expediente,tipoPatente,titulo,fecha,estado,inventor, apoderado,cip ) VALUES('NC2025/0004578','Patente de Invención Nacional','DISPOSITIVO DESMONTABLE PARA FACILITAR LARINGOSCOPIAS EN PACIENTES EDÉNTULOS CON PROTECCIÓN PARA REALIZAR PALANCA SOBRE LA ENCÍA','2025-04-09','Publicada sin pago','JUAN ENRIQUE  ARANGO CADAVID','ANDRES MARQUEZ ACOSTA','A61B 17/94,A61B 17/28,A61B 17/34,A61B 90/60,A61B 50/00,A61B 90/16');</v>
      </c>
    </row>
    <row r="78" spans="1:11" ht="198" x14ac:dyDescent="0.3">
      <c r="A78" s="4" t="str">
        <f>HYPERLINK("http://sipi.sic.gov.co/sipi/View.ashx?5159914","NC2024/0004838")</f>
        <v>NC2024/0004838</v>
      </c>
      <c r="B78" s="1" t="s">
        <v>8</v>
      </c>
      <c r="C78" s="1" t="s">
        <v>276</v>
      </c>
      <c r="D78" s="2">
        <v>45399</v>
      </c>
      <c r="E78" s="1" t="s">
        <v>9</v>
      </c>
      <c r="F78" s="1" t="s">
        <v>277</v>
      </c>
      <c r="G78" s="1" t="s">
        <v>278</v>
      </c>
      <c r="H78" s="1" t="s">
        <v>279</v>
      </c>
      <c r="I78" s="15" t="s">
        <v>587</v>
      </c>
      <c r="J78" s="7"/>
      <c r="K78" t="str">
        <f t="shared" si="1"/>
        <v>INSERT INTO patentes(expediente,tipoPatente,titulo,fecha,estado,inventor, apoderado,cip ) VALUES('NC2024/0004838','Patente de Invención Nacional','MÉTODOS PARA MEJORAR LA ADSORCIÓN DE CONJUGADOS DE POLISACÁRIDO-PROTEÍNA Y FORMULACIÓN DE VACUNA MULTIVALENTE OBTENIDA DE LOS MISMOS','2024-04-17','Publicada sin pago','Rajeev Mhalasakant DHERE,Swapan Kumar JANA,Cyrus Soli POONAWALLA ,Shital Shantilal JAIN ,Amol Dattatraya MAHAJAN ,Gourab Shankar  PAUL ,HItesh Kumar MALVIYA ,Chetan Vilas Joshi,Manish Mahesh GAUTAM ,Prathamesh Prakash KALE ,Jagdish Prasad GAIROLA SUNIL ,Asha Dinesh MALLYA ,Dipen Jagdishbhai SONI ,Sushil Vardhaman PATNI ,Vinay Vijay GAVADE ','CAROLINA MERCEDES DAZA MONTALVO','A61K 39/00,C08B 37/00,C12N 1/06,C12P 19/04');</v>
      </c>
    </row>
    <row r="79" spans="1:11" ht="52.8" x14ac:dyDescent="0.3">
      <c r="A79" s="4" t="str">
        <f>HYPERLINK("http://sipi.sic.gov.co/sipi/View.ashx?5303232","NC2024/0010645")</f>
        <v>NC2024/0010645</v>
      </c>
      <c r="B79" s="1" t="s">
        <v>8</v>
      </c>
      <c r="C79" s="1" t="s">
        <v>280</v>
      </c>
      <c r="D79" s="2">
        <v>45506</v>
      </c>
      <c r="E79" s="1" t="s">
        <v>9</v>
      </c>
      <c r="F79" s="1" t="s">
        <v>281</v>
      </c>
      <c r="G79" s="1" t="s">
        <v>282</v>
      </c>
      <c r="H79" s="1" t="s">
        <v>283</v>
      </c>
      <c r="I79" s="15" t="s">
        <v>588</v>
      </c>
      <c r="J79" s="7"/>
      <c r="K79" t="str">
        <f t="shared" si="1"/>
        <v>INSERT INTO patentes(expediente,tipoPatente,titulo,fecha,estado,inventor, apoderado,cip ) VALUES('NC2024/0010645','Patente de Invención Nacional','SISTEMA DE PAGO PARA PERMITIR EL PAGO DIVIDIDO Y MÉTODO PARA REALIZAR EL PAGO DIVIDIDO DEL MISMO','2024-08-02','Publicada sin pago','Hyung Woo KIM','LUZ HELENA ADARVE GOMEZ','G06Q 20/00,G06Q 20/04');</v>
      </c>
    </row>
    <row r="80" spans="1:11" ht="198" x14ac:dyDescent="0.3">
      <c r="A80" s="4" t="str">
        <f>HYPERLINK("http://sipi.sic.gov.co/sipi/View.ashx?4921511","NC2023/0014630")</f>
        <v>NC2023/0014630</v>
      </c>
      <c r="B80" s="1" t="s">
        <v>8</v>
      </c>
      <c r="C80" s="1" t="s">
        <v>284</v>
      </c>
      <c r="D80" s="2">
        <v>45226</v>
      </c>
      <c r="E80" s="1" t="s">
        <v>9</v>
      </c>
      <c r="F80" s="1" t="s">
        <v>285</v>
      </c>
      <c r="G80" s="1" t="s">
        <v>286</v>
      </c>
      <c r="H80" s="1" t="s">
        <v>287</v>
      </c>
      <c r="I80" s="15" t="s">
        <v>589</v>
      </c>
      <c r="J80" s="7"/>
      <c r="K80" t="str">
        <f t="shared" si="1"/>
        <v>INSERT INTO patentes(expediente,tipoPatente,titulo,fecha,estado,inventor, apoderado,cip ) VALUES('NC2023/0014630','Patente de Invención Nacional','PROCESO DE INYECCIÓN DE AIRE Y AGUA ALTERNADA POR UN MISMO POZO INYECTOR EN YACIMIENTOS PROFUNDOS DE CRUDO EXTRA-PESADO CON GAS EN SOLUCIÓN','2023-10-27','Publicada sin pago','CARLOS EDUARDO NARANJO SUAREZ,EDWIN RODRIGUEZ PAREDES,JUAN CARLOS COMAS GOMEZ,MARTA LILIANA TRUJILLO PORTILLO,NICOLÁS CAICEDO HERNÁNDEZ,HELMUT  SALAZAR BARRERO,Diego Alejandro CARDENAS PATIÑO,Freddy PORTILLO SERRUDO,Jose Walter Vanegas Prada,ANDRES FELIPE TRUJILLO SANCHEZ,CHRISTIAN LEANDRO LEIVA HERRERA,DARIO ALEXIS RUEDA GARCIA','LUZ MARA HERRERA HERRERA','E21B 43/00,E21B 43/24,E21B 43/243,E21B 43/16');</v>
      </c>
    </row>
    <row r="81" spans="1:11" ht="52.8" x14ac:dyDescent="0.3">
      <c r="A81" s="4" t="str">
        <f>HYPERLINK("http://sipi.sic.gov.co/sipi/View.ashx?4910698","NC2023/0013931")</f>
        <v>NC2023/0013931</v>
      </c>
      <c r="B81" s="1" t="s">
        <v>8</v>
      </c>
      <c r="C81" s="1" t="s">
        <v>288</v>
      </c>
      <c r="D81" s="2">
        <v>45219</v>
      </c>
      <c r="E81" s="1" t="s">
        <v>9</v>
      </c>
      <c r="F81" s="1" t="s">
        <v>77</v>
      </c>
      <c r="G81" s="1" t="s">
        <v>78</v>
      </c>
      <c r="H81" s="1" t="s">
        <v>79</v>
      </c>
      <c r="I81" s="15" t="s">
        <v>555</v>
      </c>
      <c r="J81" s="7"/>
      <c r="K81" t="str">
        <f t="shared" si="1"/>
        <v>INSERT INTO patentes(expediente,tipoPatente,titulo,fecha,estado,inventor, apoderado,cip ) VALUES('NC2023/0013931','Patente de Invención Nacional','REACTOR FUNGIBLE PARA EL PROCESAMIENTO DE BATERÍAS','2023-10-20','Publicada sin pago','Pedro Luis  Delvasto Angarita,Diego  Pérez Acevedo,Jhon Freddy  Palacios ,Diego Fernando  Hernández Pardo ','CARLOS REINALDO OLARTE GARCIA','H01M 6/52');</v>
      </c>
    </row>
    <row r="82" spans="1:11" ht="52.8" x14ac:dyDescent="0.3">
      <c r="A82" s="4" t="str">
        <f>HYPERLINK("http://sipi.sic.gov.co/sipi/View.ashx?5418751","NC2024/0014183")</f>
        <v>NC2024/0014183</v>
      </c>
      <c r="B82" s="1" t="s">
        <v>8</v>
      </c>
      <c r="C82" s="1" t="s">
        <v>289</v>
      </c>
      <c r="D82" s="2">
        <v>45593</v>
      </c>
      <c r="E82" s="1" t="s">
        <v>9</v>
      </c>
      <c r="F82" s="1" t="s">
        <v>290</v>
      </c>
      <c r="G82" s="1" t="s">
        <v>291</v>
      </c>
      <c r="H82" s="1" t="s">
        <v>292</v>
      </c>
      <c r="I82" s="15" t="s">
        <v>590</v>
      </c>
      <c r="J82" s="7"/>
      <c r="K82" t="str">
        <f t="shared" si="1"/>
        <v>INSERT INTO patentes(expediente,tipoPatente,titulo,fecha,estado,inventor, apoderado,cip ) VALUES('NC2024/0014183','Patente de Invención Nacional','DISPOSITIVO PARA SEPARAR CABEZAS DE PESCADO EN BLOQUES CONGELADOS, A TRAVÉS DEL USO DE MARTILLOS TIPO COMBA','2024-10-28','Publicada sin pago','Mario Ricardo  Arbulú Saavedra,OSCAR EDUARDO CHAVARRO ARIAS,David  Saavedra Mora','OSCAR EDUARDO CHAVARRO ARIAS','A22C 25/04,A22C 25/08,A22C 25/14');</v>
      </c>
    </row>
    <row r="83" spans="1:11" ht="66" x14ac:dyDescent="0.3">
      <c r="A83" s="4" t="str">
        <f>HYPERLINK("http://sipi.sic.gov.co/sipi/View.ashx?5511300","NC2024/0018017")</f>
        <v>NC2024/0018017</v>
      </c>
      <c r="B83" s="1" t="s">
        <v>8</v>
      </c>
      <c r="C83" s="1" t="s">
        <v>293</v>
      </c>
      <c r="D83" s="2">
        <v>45652</v>
      </c>
      <c r="E83" s="1" t="s">
        <v>9</v>
      </c>
      <c r="F83" s="1" t="s">
        <v>294</v>
      </c>
      <c r="G83" s="1" t="s">
        <v>60</v>
      </c>
      <c r="H83" s="1" t="s">
        <v>295</v>
      </c>
      <c r="I83" s="15" t="s">
        <v>552</v>
      </c>
      <c r="J83" s="7"/>
      <c r="K83" t="str">
        <f t="shared" si="1"/>
        <v>INSERT INTO patentes(expediente,tipoPatente,titulo,fecha,estado,inventor, apoderado,cip ) VALUES('NC2024/0018017','Patente de Invención Nacional','SISTEMA DE SUSPENSION ANTERIOR PARA UN VEHÍCULO ELECTRICO DE TRANSPORTE DE CARGA','2024-12-26','Publicada sin pago','Rosemberg ESPINEL FORERO,JOHN FEDDY  TRAIANA VARGAS,Carlos Montenegro,ROBERTO IREGUI,Andrés Felipe Ramírez Moreno','LIZBETH CALVO','B60G 5/00,B60G 21/00,B60G 11/23');</v>
      </c>
    </row>
    <row r="84" spans="1:11" ht="39.6" x14ac:dyDescent="0.3">
      <c r="A84" s="4" t="str">
        <f>HYPERLINK("http://sipi.sic.gov.co/sipi/View.ashx?4915459","NC2023/0014164")</f>
        <v>NC2023/0014164</v>
      </c>
      <c r="B84" s="1" t="s">
        <v>8</v>
      </c>
      <c r="C84" s="1" t="s">
        <v>296</v>
      </c>
      <c r="D84" s="2">
        <v>45222</v>
      </c>
      <c r="E84" s="1" t="s">
        <v>9</v>
      </c>
      <c r="F84" s="1" t="s">
        <v>297</v>
      </c>
      <c r="G84" s="1" t="s">
        <v>297</v>
      </c>
      <c r="H84" s="1" t="s">
        <v>298</v>
      </c>
      <c r="I84" s="15" t="s">
        <v>297</v>
      </c>
      <c r="J84" s="7"/>
      <c r="K84" t="str">
        <f t="shared" si="1"/>
        <v>INSERT INTO patentes(expediente,tipoPatente,titulo,fecha,estado,inventor, apoderado,cip ) VALUES('NC2023/0014164','Patente de Invención Nacional','VOLANTE MULTIPLICADOR DE TORQUE','2023-10-23','Publicada sin pago','TEODICELO GOMEZ PUENTES','TEODICELO GOMEZ PUENTES','F03G 3/00,F03G 3/06,F03G 7/08');</v>
      </c>
    </row>
    <row r="85" spans="1:11" ht="118.8" x14ac:dyDescent="0.3">
      <c r="A85" s="4" t="str">
        <f>HYPERLINK("http://sipi.sic.gov.co/sipi/View.ashx?4929034","NC2023/0015148")</f>
        <v>NC2023/0015148</v>
      </c>
      <c r="B85" s="1" t="s">
        <v>8</v>
      </c>
      <c r="C85" s="1" t="s">
        <v>299</v>
      </c>
      <c r="D85" s="2">
        <v>45237</v>
      </c>
      <c r="E85" s="1" t="s">
        <v>9</v>
      </c>
      <c r="F85" s="1" t="s">
        <v>300</v>
      </c>
      <c r="G85" s="1" t="s">
        <v>301</v>
      </c>
      <c r="H85" s="1" t="s">
        <v>302</v>
      </c>
      <c r="I85" s="16" t="s">
        <v>591</v>
      </c>
      <c r="J85" s="7"/>
      <c r="K85" t="str">
        <f t="shared" si="1"/>
        <v>INSERT INTO patentes(expediente,tipoPatente,titulo,fecha,estado,inventor, apoderado,cip ) VALUES('NC2023/0015148','Patente de Invención Nacional','METODO PARA LA PRODUCCION DE OXIDO DE GRAFENO REDUCIDO (RGO) DE ALTA CALIDAD','2023-11-07','Publicada sin pago','LINA MARCELA HOYOS PALACIO,AURA SOFIA MERLANO MANOTAS','JULIAN  ESCUDERO CORREA','C09K 8/03,B82Y 30/00,B82Y 40/00,H01M 4/133,C01B 32/184,C01B 32/19,B01D 1/18,C09K 3/00,B01J 19/10');</v>
      </c>
    </row>
    <row r="86" spans="1:11" ht="52.8" x14ac:dyDescent="0.3">
      <c r="A86" s="4" t="str">
        <f>HYPERLINK("http://sipi.sic.gov.co/sipi/View.ashx?3730224","NC2021/0013220")</f>
        <v>NC2021/0013220</v>
      </c>
      <c r="B86" s="1" t="s">
        <v>8</v>
      </c>
      <c r="C86" s="1" t="s">
        <v>303</v>
      </c>
      <c r="D86" s="2">
        <v>44469</v>
      </c>
      <c r="E86" s="1" t="s">
        <v>9</v>
      </c>
      <c r="F86" s="1" t="s">
        <v>304</v>
      </c>
      <c r="G86" s="1" t="s">
        <v>286</v>
      </c>
      <c r="H86" s="1" t="s">
        <v>305</v>
      </c>
      <c r="I86" s="16" t="s">
        <v>592</v>
      </c>
      <c r="J86" s="7"/>
      <c r="K86" t="str">
        <f t="shared" si="1"/>
        <v>INSERT INTO patentes(expediente,tipoPatente,titulo,fecha,estado,inventor, apoderado,cip ) VALUES('NC2021/0013220','Patente de Invención Nacional','MÉTODO PARA LA DETECCIÓN Y CUANTIFICACIÓN DE BACTERIAS OXIDADORAS DE SULFURO MEDIANTE GEN MARCADOR ESPECIFICO','2021-09-30','Publicada sin pago','Bladimiro RINCÓN OROZCO,Jhorman Alexis Niño Gomez,Ronald Jaimes Prada,SARA MARCELA URIBE OCHOA','LUZ MARA HERRERA HERRERA','G01N 33/00');</v>
      </c>
    </row>
    <row r="87" spans="1:11" ht="132" x14ac:dyDescent="0.3">
      <c r="A87" s="4" t="str">
        <f>HYPERLINK("http://sipi.sic.gov.co/sipi/View.ashx?4930692","NC2023/0015150")</f>
        <v>NC2023/0015150</v>
      </c>
      <c r="B87" s="1" t="s">
        <v>8</v>
      </c>
      <c r="C87" s="1" t="s">
        <v>306</v>
      </c>
      <c r="D87" s="2">
        <v>45238</v>
      </c>
      <c r="E87" s="1" t="s">
        <v>9</v>
      </c>
      <c r="F87" s="1" t="s">
        <v>307</v>
      </c>
      <c r="G87" s="1" t="s">
        <v>308</v>
      </c>
      <c r="H87" s="1" t="s">
        <v>309</v>
      </c>
      <c r="I87" s="16" t="s">
        <v>593</v>
      </c>
      <c r="J87" s="7"/>
      <c r="K87" t="str">
        <f t="shared" si="1"/>
        <v>INSERT INTO patentes(expediente,tipoPatente,titulo,fecha,estado,inventor, apoderado,cip ) VALUES('NC2023/0015150','Patente de Invención Nacional','SISTEMA PARA EL MONITOREO DEL TRÁNSITO VEHICULAR, EL CONTROL Y EL  AUMENTO DE LA SEGURIDAD DE LOS ACTORES VIALES.','2023-11-08','Publicada sin pago','ISAIAS  LANS VARGAS,JUAN CARLOS  LONDOÑO TASCON,DIANA MARCELA  TRIANA MALDONADO,MAURICIO ANDRES VILLA AMAYA,MARYI ALEJANDRA CARVAJAL QUINTERO,LUIS FELIPE SALAS GUERRERO,JUAN PABLO  ACERO BAENA,BAYRON HERNANDEZ TOUS','JUAN CARLOS TORRES IBARRA','G08G 1/00');</v>
      </c>
    </row>
    <row r="88" spans="1:11" ht="105.6" x14ac:dyDescent="0.3">
      <c r="A88" s="4" t="str">
        <f>HYPERLINK("http://sipi.sic.gov.co/sipi/View.ashx?4930255","NC2023/0015157")</f>
        <v>NC2023/0015157</v>
      </c>
      <c r="B88" s="1" t="s">
        <v>8</v>
      </c>
      <c r="C88" s="1" t="s">
        <v>310</v>
      </c>
      <c r="D88" s="2">
        <v>45238</v>
      </c>
      <c r="E88" s="1" t="s">
        <v>9</v>
      </c>
      <c r="F88" s="1" t="s">
        <v>311</v>
      </c>
      <c r="G88" s="1" t="s">
        <v>78</v>
      </c>
      <c r="H88" s="1" t="s">
        <v>312</v>
      </c>
      <c r="I88" s="16" t="s">
        <v>578</v>
      </c>
      <c r="J88" s="7"/>
      <c r="K88" t="str">
        <f t="shared" si="1"/>
        <v>INSERT INTO patentes(expediente,tipoPatente,titulo,fecha,estado,inventor, apoderado,cip ) VALUES('NC2023/0015157','Patente de Invención Nacional','FILTRO DE MATERIAL PARTICULADO','2023-11-08','Publicada sin pago','MARIA CLARA RESTREPO RESTREPO,MARLON ANDRÉS OSORIO DELGADO,Melissa Paola Cortes Gomez,Cristina Isabel  Castro Herazo ,Sergio Andres  Saldarriaga Suarez','CARLOS REINALDO OLARTE GARCIA','B03C 3/30,B03C 3/64,A62B 23/02,B32B 5/26,A41D 13/11,A41D 27/00,A41D 31/02,A41D 31/04');</v>
      </c>
    </row>
    <row r="89" spans="1:11" ht="158.4" x14ac:dyDescent="0.3">
      <c r="A89" s="4" t="str">
        <f>HYPERLINK("http://sipi.sic.gov.co/sipi/View.ashx?4932524","NC2023/0015103")</f>
        <v>NC2023/0015103</v>
      </c>
      <c r="B89" s="1" t="s">
        <v>8</v>
      </c>
      <c r="C89" s="1" t="s">
        <v>313</v>
      </c>
      <c r="D89" s="2">
        <v>45238</v>
      </c>
      <c r="E89" s="1" t="s">
        <v>9</v>
      </c>
      <c r="F89" s="1" t="s">
        <v>314</v>
      </c>
      <c r="G89" s="1" t="s">
        <v>315</v>
      </c>
      <c r="H89" s="1" t="s">
        <v>316</v>
      </c>
      <c r="I89" s="16" t="s">
        <v>594</v>
      </c>
      <c r="J89" s="7"/>
      <c r="K89" t="str">
        <f t="shared" si="1"/>
        <v>INSERT INTO patentes(expediente,tipoPatente,titulo,fecha,estado,inventor, apoderado,cip ) VALUES('NC2023/0015103','Patente de Invención Nacional','MÉTODO PARA MONITOREO DE CUERPOS DE AGUA MEDIANTE CAPTACIÓN DE MUESTRAS CON DRONES PROGRAMABLES Y TELEDETECCIÓN MULTIESPECTRAL','2023-11-08','Publicada sin pago','JOSE ALEJANDRO OTERO NORIEGA,JULIO GONZALEZ BASTARDO,Alejandro Peinado Borelly,maiker rojas castro,Alberto Mario potes coronado,ecler david reyes calderon','JOSE ALEJANDRO OTERO NORIEGA','B64C 39/02,B64D 47/08,G01N 1/04,G01N 1/12,B64D 1/22,B64D 7/00,B64D 47/00,B65D 25/00,B65D 25/40,B65D 41/04,B65D 53/02,B65D 85/00');</v>
      </c>
    </row>
    <row r="90" spans="1:11" ht="92.4" x14ac:dyDescent="0.3">
      <c r="A90" s="4" t="str">
        <f>HYPERLINK("http://sipi.sic.gov.co/sipi/View.ashx?5542018","NC2025/0000797")</f>
        <v>NC2025/0000797</v>
      </c>
      <c r="B90" s="1" t="s">
        <v>8</v>
      </c>
      <c r="C90" s="1" t="s">
        <v>317</v>
      </c>
      <c r="D90" s="2">
        <v>45721</v>
      </c>
      <c r="E90" s="1" t="s">
        <v>9</v>
      </c>
      <c r="F90" s="1" t="s">
        <v>318</v>
      </c>
      <c r="G90" s="1" t="s">
        <v>318</v>
      </c>
      <c r="H90" s="1" t="s">
        <v>319</v>
      </c>
      <c r="I90" s="16" t="s">
        <v>318</v>
      </c>
      <c r="J90" s="7"/>
      <c r="K90" t="str">
        <f t="shared" si="1"/>
        <v>INSERT INTO patentes(expediente,tipoPatente,titulo,fecha,estado,inventor, apoderado,cip ) VALUES('NC2025/0000797','Patente de Invención Nacional','APARATO DIGESTOR ELECTRO MECANICO Y PROCEDIMIENTO QUIMICO PARA DISOLVER CADÁVERES DE ANIMALES Y HUMANOS POR METODO DE HIDROLISIS ALCALINA DE BAJA TEMPERATURA.','2025-03-05','Publicada sin pago','YAMID LEONARDO MAZO BONILLA','YAMID LEONARDO MAZO BONILLA','G21F 9/28,G21F 9/32');</v>
      </c>
    </row>
    <row r="91" spans="1:11" ht="118.8" x14ac:dyDescent="0.3">
      <c r="A91" s="4" t="str">
        <f>HYPERLINK("http://sipi.sic.gov.co/sipi/View.ashx?4940431","NC2023/0015283")</f>
        <v>NC2023/0015283</v>
      </c>
      <c r="B91" s="1" t="s">
        <v>8</v>
      </c>
      <c r="C91" s="1" t="s">
        <v>320</v>
      </c>
      <c r="D91" s="2">
        <v>45244</v>
      </c>
      <c r="E91" s="1" t="s">
        <v>9</v>
      </c>
      <c r="F91" s="1" t="s">
        <v>321</v>
      </c>
      <c r="G91" s="1" t="s">
        <v>322</v>
      </c>
      <c r="H91" s="1" t="s">
        <v>323</v>
      </c>
      <c r="I91" s="17" t="s">
        <v>595</v>
      </c>
      <c r="J91" s="7"/>
      <c r="K91" t="str">
        <f t="shared" si="1"/>
        <v>INSERT INTO patentes(expediente,tipoPatente,titulo,fecha,estado,inventor, apoderado,cip ) VALUES('NC2023/0015283','Patente de Invención Nacional','PROCESO MEJORADO DE EXTRACCIÓN Y PURIFICACIÓN DE CANNABINOIDES UTILIZANDO EXTRACCIÓN A CONTRACORRIENTE CON SOLVENTES BIODERIVADOS Y DESTILACIÓN REACTIVA SIMULTÁNEA PARA LA FABRICACIÓN DE INGREDIENTES FITOFARMACÉUTICOS DE CANNABIS','2023-11-14','Publicada sin pago','Miguel Augusto Santaella Serrano','JUAN PABLO  SANTAELLA MOGOLLON','B01D 3/00,B01D 11/00,B01D 11/02,B01D 11/04,B01D 21/00,B01D 53/14');</v>
      </c>
    </row>
    <row r="92" spans="1:11" ht="79.2" x14ac:dyDescent="0.3">
      <c r="A92" s="4" t="str">
        <f>HYPERLINK("http://sipi.sic.gov.co/sipi/View.ashx?4939268","NC2023/0015261")</f>
        <v>NC2023/0015261</v>
      </c>
      <c r="B92" s="1" t="s">
        <v>8</v>
      </c>
      <c r="C92" s="1" t="s">
        <v>324</v>
      </c>
      <c r="D92" s="2">
        <v>45240</v>
      </c>
      <c r="E92" s="1" t="s">
        <v>9</v>
      </c>
      <c r="F92" s="1" t="s">
        <v>325</v>
      </c>
      <c r="G92" s="1" t="s">
        <v>181</v>
      </c>
      <c r="H92" s="1" t="s">
        <v>326</v>
      </c>
      <c r="I92" s="17" t="s">
        <v>325</v>
      </c>
      <c r="J92" s="7"/>
      <c r="K92" t="str">
        <f t="shared" si="1"/>
        <v>INSERT INTO patentes(expediente,tipoPatente,titulo,fecha,estado,inventor, apoderado,cip ) VALUES('NC2023/0015261','Patente de Invención Nacional','BASTÓN SATELITAL PARA INVIDENTES CON MEDIO TACTIL ALÁRMICO','2023-11-10','Publicada sin pago','Rosita Brilly  Ángel Reitsch','HELENA CAMARGO WILLIAMSON','A45B 3/00,G08B 13/24,G08B 21/02,G08B 21/24,G08B 26/00,A61H 3/06');</v>
      </c>
    </row>
    <row r="93" spans="1:11" ht="79.2" x14ac:dyDescent="0.3">
      <c r="A93" s="4" t="str">
        <f>HYPERLINK("http://sipi.sic.gov.co/sipi/View.ashx?5685365","NC2025/0005948")</f>
        <v>NC2025/0005948</v>
      </c>
      <c r="B93" s="1" t="s">
        <v>8</v>
      </c>
      <c r="C93" s="1" t="s">
        <v>327</v>
      </c>
      <c r="D93" s="2">
        <v>45785</v>
      </c>
      <c r="E93" s="1" t="s">
        <v>9</v>
      </c>
      <c r="F93" s="1" t="s">
        <v>266</v>
      </c>
      <c r="G93" s="1" t="s">
        <v>267</v>
      </c>
      <c r="H93" s="1" t="s">
        <v>328</v>
      </c>
      <c r="I93" s="17" t="s">
        <v>586</v>
      </c>
      <c r="J93" s="7"/>
      <c r="K93" t="str">
        <f t="shared" si="1"/>
        <v>INSERT INTO patentes(expediente,tipoPatente,titulo,fecha,estado,inventor, apoderado,cip ) VALUES('NC2025/0005948','Patente de Invención Nacional','SISTEMA DE EMPAQUES ANULARES PARA PRENSAESTOPAS PARA POZOS','2025-05-08','Publicada sin pago','JAIME EDUARDO CAICEDO VARGAS','DAVID JESUS MENDEZ VILLAMIZAR','E21B 33/129,E21B 43/20,E21B 12/00,E21B 33/03,E21B 33/12,E21B 33/126');</v>
      </c>
    </row>
    <row r="94" spans="1:11" ht="92.4" x14ac:dyDescent="0.3">
      <c r="A94" s="4" t="str">
        <f>HYPERLINK("http://sipi.sic.gov.co/sipi/View.ashx?5636040","NC2025/0004749")</f>
        <v>NC2025/0004749</v>
      </c>
      <c r="B94" s="1" t="s">
        <v>8</v>
      </c>
      <c r="C94" s="1" t="s">
        <v>329</v>
      </c>
      <c r="D94" s="2">
        <v>45762</v>
      </c>
      <c r="E94" s="1" t="s">
        <v>9</v>
      </c>
      <c r="F94" s="1" t="s">
        <v>330</v>
      </c>
      <c r="G94" s="1" t="s">
        <v>330</v>
      </c>
      <c r="H94" s="1" t="s">
        <v>331</v>
      </c>
      <c r="I94" s="17" t="s">
        <v>330</v>
      </c>
      <c r="J94" s="7"/>
      <c r="K94" t="str">
        <f t="shared" si="1"/>
        <v>INSERT INTO patentes(expediente,tipoPatente,titulo,fecha,estado,inventor, apoderado,cip ) VALUES('NC2025/0004749','Patente de Invención Nacional','SANITARIO ECOLOGICO CON ATMOSFERA NEGATIVA Y VACIO DE BAJO CONSUMO DE AGUA CON Y SIN DISPENSADOR DE CHORRO DE AGUA PARA ASEO PERSONAL PARA CONSTRUCCIONES AUTOSOSTENIBLES Y SUSTENTABLES','2025-04-15','Publicada sin pago','PABLO POCH FIGUEROA','PABLO POCH FIGUEROA','E03D 5/014,E03D 11/14,E03D 11/00,E03D 5/00,E03D 5/012');</v>
      </c>
    </row>
    <row r="95" spans="1:11" ht="39.6" x14ac:dyDescent="0.3">
      <c r="A95" s="4" t="str">
        <f>HYPERLINK("http://sipi.sic.gov.co/sipi/View.ashx?4942889","NC2023/0015425")</f>
        <v>NC2023/0015425</v>
      </c>
      <c r="B95" s="1" t="s">
        <v>8</v>
      </c>
      <c r="C95" s="1" t="s">
        <v>332</v>
      </c>
      <c r="D95" s="2">
        <v>45245</v>
      </c>
      <c r="E95" s="1" t="s">
        <v>9</v>
      </c>
      <c r="F95" s="1" t="s">
        <v>333</v>
      </c>
      <c r="G95" s="1" t="s">
        <v>88</v>
      </c>
      <c r="H95" s="1" t="s">
        <v>334</v>
      </c>
      <c r="I95" s="17" t="s">
        <v>596</v>
      </c>
      <c r="J95" s="7"/>
      <c r="K95" t="str">
        <f t="shared" si="1"/>
        <v>INSERT INTO patentes(expediente,tipoPatente,titulo,fecha,estado,inventor, apoderado,cip ) VALUES('NC2023/0015425','Patente de Invención Nacional','ASPERSOR DE MOCHILA CON MECANISMO DE FUELLE','2023-11-15','Publicada sin pago','ALIDA MARIA  FLEURY BELLANDI','JUAN CARLOS CUESTA QUINTERO','A01M 9/00,A01G 25/14,B05B 3/00');</v>
      </c>
    </row>
    <row r="96" spans="1:11" ht="118.8" x14ac:dyDescent="0.3">
      <c r="A96" s="4" t="str">
        <f>HYPERLINK("http://sipi.sic.gov.co/sipi/View.ashx?5451492","NC2024/0015365")</f>
        <v>NC2024/0015365</v>
      </c>
      <c r="B96" s="1" t="s">
        <v>8</v>
      </c>
      <c r="C96" s="1" t="s">
        <v>335</v>
      </c>
      <c r="D96" s="2">
        <v>45608</v>
      </c>
      <c r="E96" s="1" t="s">
        <v>9</v>
      </c>
      <c r="F96" s="1" t="s">
        <v>336</v>
      </c>
      <c r="G96" s="1" t="s">
        <v>337</v>
      </c>
      <c r="H96" s="1" t="s">
        <v>338</v>
      </c>
      <c r="I96" s="17" t="s">
        <v>597</v>
      </c>
      <c r="J96" s="7"/>
      <c r="K96" t="str">
        <f t="shared" si="1"/>
        <v>INSERT INTO patentes(expediente,tipoPatente,titulo,fecha,estado,inventor, apoderado,cip ) VALUES('NC2024/0015365','Patente de Invención Nacional','SILLA DE SOL CON SISTEMA DE ASPERSION Y POSICIONAMIENTO VARIABLE','2024-11-12','Publicada sin pago','ANA MARÍA RENGIFO LÓPEZ,juan carlos rengifo lopez','JUAN DAVID BURITICA MORA','A47C 3/025,A47C 7/72,B60N 2/10,A47C 1/024,A47C 1/025,A47C 1/14,A47C 3/02,A47C 3/027,A47D 13/10');</v>
      </c>
    </row>
    <row r="97" spans="1:11" ht="39.6" x14ac:dyDescent="0.3">
      <c r="A97" s="4" t="str">
        <f>HYPERLINK("http://sipi.sic.gov.co/sipi/View.ashx?5677342","NC2025/0005671")</f>
        <v>NC2025/0005671</v>
      </c>
      <c r="B97" s="1" t="s">
        <v>8</v>
      </c>
      <c r="C97" s="1" t="s">
        <v>339</v>
      </c>
      <c r="D97" s="2">
        <v>45779</v>
      </c>
      <c r="E97" s="1" t="s">
        <v>9</v>
      </c>
      <c r="F97" s="1" t="s">
        <v>340</v>
      </c>
      <c r="G97" s="1" t="s">
        <v>113</v>
      </c>
      <c r="H97" s="1" t="s">
        <v>341</v>
      </c>
      <c r="I97" s="17" t="s">
        <v>340</v>
      </c>
      <c r="J97" s="7"/>
      <c r="K97" t="str">
        <f t="shared" si="1"/>
        <v>INSERT INTO patentes(expediente,tipoPatente,titulo,fecha,estado,inventor, apoderado,cip ) VALUES('NC2025/0005671','Patente de Invención Nacional','BOTÓN DE TIMBRE INALÁMBRICO AUTOALIMENTADO PARA VEHÍCULOS DE TRANSPORTE DE PASAJEROS','2025-05-02','Publicada sin pago','PAULO FABIANO GATELLI','JESUS MARIA MENDEZ BERMUDEZ','H01H 13/52');</v>
      </c>
    </row>
    <row r="98" spans="1:11" ht="92.4" x14ac:dyDescent="0.3">
      <c r="A98" s="4" t="str">
        <f>HYPERLINK("http://sipi.sic.gov.co/sipi/View.ashx?5465329","NC2024/0015769")</f>
        <v>NC2024/0015769</v>
      </c>
      <c r="B98" s="1" t="s">
        <v>8</v>
      </c>
      <c r="C98" s="1" t="s">
        <v>342</v>
      </c>
      <c r="D98" s="2">
        <v>45616</v>
      </c>
      <c r="E98" s="1" t="s">
        <v>9</v>
      </c>
      <c r="F98" s="1" t="s">
        <v>343</v>
      </c>
      <c r="G98" s="1" t="s">
        <v>78</v>
      </c>
      <c r="H98" s="1" t="s">
        <v>344</v>
      </c>
      <c r="I98" s="17" t="s">
        <v>598</v>
      </c>
      <c r="J98" s="7"/>
      <c r="K98" t="str">
        <f t="shared" si="1"/>
        <v>INSERT INTO patentes(expediente,tipoPatente,titulo,fecha,estado,inventor, apoderado,cip ) VALUES('NC2024/0015769','Patente de Invención Nacional','SISTEMA MODULAR DE AHORRO ENERGÉTICO PARA REFRIGERACIÓN MEDIANTE LA INTEGRACIÓN DE REFRIGERACIÓN ACTIVA Y PASIVA','2024-11-20','Publicada sin pago','ISABEL PULIDO,Helmer Ricardo Cogua Barrera,Diana Paola Camacho Sarmiento','CARLOS REINALDO OLARTE GARCIA','F25D 3/00,F28D 20/02,F25D 31/00,B01L 1/02,B01L 7/00,C12M 1/00,F24F 5/00');</v>
      </c>
    </row>
    <row r="99" spans="1:11" ht="66" x14ac:dyDescent="0.3">
      <c r="A99" s="4" t="str">
        <f>HYPERLINK("http://sipi.sic.gov.co/sipi/View.ashx?5464852","NC2024/0015737")</f>
        <v>NC2024/0015737</v>
      </c>
      <c r="B99" s="1" t="s">
        <v>8</v>
      </c>
      <c r="C99" s="1" t="s">
        <v>345</v>
      </c>
      <c r="D99" s="2">
        <v>45616</v>
      </c>
      <c r="E99" s="1" t="s">
        <v>9</v>
      </c>
      <c r="F99" s="1" t="s">
        <v>346</v>
      </c>
      <c r="G99" s="1" t="s">
        <v>291</v>
      </c>
      <c r="H99" s="1" t="s">
        <v>347</v>
      </c>
      <c r="I99" s="18" t="s">
        <v>590</v>
      </c>
      <c r="J99" s="7"/>
      <c r="K99" t="str">
        <f t="shared" si="1"/>
        <v>INSERT INTO patentes(expediente,tipoPatente,titulo,fecha,estado,inventor, apoderado,cip ) VALUES('NC2024/0015737','Patente de Invención Nacional','SISTEMA Y MÉTODO AUTOMATIZADO PARA TAMIZAR MUESTRAS DE SUELOS ','2024-11-20','Publicada sin pago','MARIO ARBULÚ SAAVEDRA,David  Saavedra Mora,LISED GUACA CRUZ,DANIEL ANDRES URREGO ARDILA,EMILIANO GUANIPA GARCIA','OSCAR EDUARDO CHAVARRO ARIAS','B07B 1/00,B07B 1/15,B07B 1/46');</v>
      </c>
    </row>
    <row r="100" spans="1:11" ht="132" x14ac:dyDescent="0.3">
      <c r="A100" s="4" t="str">
        <f>HYPERLINK("http://sipi.sic.gov.co/sipi/View.ashx?5206464","NC2024/0006362")</f>
        <v>NC2024/0006362</v>
      </c>
      <c r="B100" s="1" t="s">
        <v>8</v>
      </c>
      <c r="C100" s="1" t="s">
        <v>348</v>
      </c>
      <c r="D100" s="2">
        <v>45432</v>
      </c>
      <c r="E100" s="1" t="s">
        <v>9</v>
      </c>
      <c r="F100" s="1" t="s">
        <v>349</v>
      </c>
      <c r="G100" s="1" t="s">
        <v>350</v>
      </c>
      <c r="H100" s="1" t="s">
        <v>351</v>
      </c>
      <c r="I100" s="18" t="s">
        <v>599</v>
      </c>
      <c r="J100" s="7"/>
      <c r="K100" t="str">
        <f t="shared" si="1"/>
        <v>INSERT INTO patentes(expediente,tipoPatente,titulo,fecha,estado,inventor, apoderado,cip ) VALUES('NC2024/0006362','Patente de Invención Nacional','DISPOSITIVO DE AGARRE SUB-ACTUADO DE POSICIONES AJUSTABLES PARA PRÓTESIS MIOELÉCTRICAS','2024-05-20','Publicada sin pago','Sofía Catalina Henao Aguirre,Simon Cuartas Escobar,Daniel Escobar Saltarén,Ana María Posada Borrero,Maria Bernarda  Salazar Sánchez,Estefanía Aramburo Villa,Jorge Alberto Robledo Ramírez,Sara Salazar Salgado,Luz Ángela Calderón Calderón,Juan Carlos Parra Peláez','JOSE ANDRES RINCON USCATEGUI','A01K 83/04,A61C 13/28,A61F 2/78');</v>
      </c>
    </row>
    <row r="101" spans="1:11" ht="52.8" x14ac:dyDescent="0.3">
      <c r="A101" s="4" t="str">
        <f>HYPERLINK("http://sipi.sic.gov.co/sipi/View.ashx?5665718","NC2025/0005113")</f>
        <v>NC2025/0005113</v>
      </c>
      <c r="B101" s="1" t="s">
        <v>8</v>
      </c>
      <c r="C101" s="1" t="s">
        <v>352</v>
      </c>
      <c r="D101" s="2">
        <v>45771</v>
      </c>
      <c r="E101" s="1" t="s">
        <v>9</v>
      </c>
      <c r="F101" s="1" t="s">
        <v>353</v>
      </c>
      <c r="G101" s="1" t="s">
        <v>350</v>
      </c>
      <c r="H101" s="1" t="s">
        <v>354</v>
      </c>
      <c r="I101" s="18" t="s">
        <v>600</v>
      </c>
      <c r="J101" s="7"/>
      <c r="K101" t="str">
        <f t="shared" si="1"/>
        <v>INSERT INTO patentes(expediente,tipoPatente,titulo,fecha,estado,inventor, apoderado,cip ) VALUES('NC2025/0005113','Patente de Invención Nacional','SISTEMA Y MÉTODO PARA LA ESTIMACIÓN Y GESTIÓN DE INCERTIDUMBRE EN RESULTADOS DE ANÁLISIS DE LABORATORIO','2025-04-24','Publicada sin pago','Frank David  Gómez Pinto,Fernando  Jaimes Carreño','JOSE ANDRES RINCON USCATEGUI','G06F 17/15,G06F 11/34,G06F 17/18,G06F 17/40');</v>
      </c>
    </row>
    <row r="102" spans="1:11" ht="118.8" x14ac:dyDescent="0.3">
      <c r="A102" s="4" t="str">
        <f>HYPERLINK("http://sipi.sic.gov.co/sipi/View.ashx?5664479","NC2025/0005126")</f>
        <v>NC2025/0005126</v>
      </c>
      <c r="B102" s="1" t="s">
        <v>8</v>
      </c>
      <c r="C102" s="1" t="s">
        <v>355</v>
      </c>
      <c r="D102" s="2">
        <v>45771</v>
      </c>
      <c r="E102" s="1" t="s">
        <v>9</v>
      </c>
      <c r="F102" s="1" t="s">
        <v>356</v>
      </c>
      <c r="G102" s="1" t="s">
        <v>356</v>
      </c>
      <c r="H102" s="1" t="s">
        <v>357</v>
      </c>
      <c r="I102" s="18" t="s">
        <v>356</v>
      </c>
      <c r="J102" s="7"/>
      <c r="K102" t="str">
        <f t="shared" si="1"/>
        <v>INSERT INTO patentes(expediente,tipoPatente,titulo,fecha,estado,inventor, apoderado,cip ) VALUES('NC2025/0005126','Patente de Invención Nacional','MAQUINA Y PROCESO PARA RASURADO DE PIEL ANIMAL ','2025-04-24','Publicada sin pago','OLGA PRAXCEDIS PRIETO MARIN','OLGA PRAXCEDIS PRIETO MARIN','C14B 1/18,C14B 17/06,C14B 5/00,C14B 17/00,C14B 17/04,C14B 1/28,C14B 1/00,C14B 15/06,C14B 1/40');</v>
      </c>
    </row>
    <row r="103" spans="1:11" ht="26.4" x14ac:dyDescent="0.3">
      <c r="A103" s="4" t="str">
        <f>HYPERLINK("http://sipi.sic.gov.co/sipi/View.ashx?4950278","NC2023/0015737")</f>
        <v>NC2023/0015737</v>
      </c>
      <c r="B103" s="1" t="s">
        <v>8</v>
      </c>
      <c r="C103" s="1" t="s">
        <v>358</v>
      </c>
      <c r="D103" s="2">
        <v>45251</v>
      </c>
      <c r="E103" s="1" t="s">
        <v>9</v>
      </c>
      <c r="F103" s="1" t="s">
        <v>359</v>
      </c>
      <c r="G103" s="1" t="s">
        <v>360</v>
      </c>
      <c r="H103" s="1" t="s">
        <v>361</v>
      </c>
      <c r="I103" s="18" t="s">
        <v>601</v>
      </c>
      <c r="J103" s="7"/>
      <c r="K103" t="str">
        <f t="shared" si="1"/>
        <v>INSERT INTO patentes(expediente,tipoPatente,titulo,fecha,estado,inventor, apoderado,cip ) VALUES('NC2023/0015737','Patente de Invención Nacional','ASADOR PLEGABLE Y TRANSPORTABLE.','2023-11-21','Publicada sin pago','DANIEL JACOBO  URREGO ECHEVERRI ','Nicolas Duque Martínez','A47J 37/00');</v>
      </c>
    </row>
    <row r="104" spans="1:11" ht="52.8" x14ac:dyDescent="0.3">
      <c r="A104" s="4" t="str">
        <f>HYPERLINK("http://sipi.sic.gov.co/sipi/View.ashx?4956372","NC2023/0016146")</f>
        <v>NC2023/0016146</v>
      </c>
      <c r="B104" s="1" t="s">
        <v>8</v>
      </c>
      <c r="C104" s="1" t="s">
        <v>362</v>
      </c>
      <c r="D104" s="2">
        <v>45259</v>
      </c>
      <c r="E104" s="1" t="s">
        <v>9</v>
      </c>
      <c r="F104" s="1" t="s">
        <v>363</v>
      </c>
      <c r="G104" s="1" t="s">
        <v>350</v>
      </c>
      <c r="H104" s="1" t="s">
        <v>364</v>
      </c>
      <c r="I104" s="18" t="s">
        <v>602</v>
      </c>
      <c r="J104" s="7"/>
      <c r="K104" t="str">
        <f t="shared" si="1"/>
        <v>INSERT INTO patentes(expediente,tipoPatente,titulo,fecha,estado,inventor, apoderado,cip ) VALUES('NC2023/0016146','Patente de Invención Nacional','ANILLO DE FIJACIÓN DE RODAMIENTO PARA MÁQUINAS ROTATIVAS ELÉCTRICAS Y MÁQUINA ROTATIVA ELÉCTRICA','2023-11-29','Publicada sin pago','JONATAS FRAGA ROCHA,VANDO VANDERLEI ADAMI','JOSE ANDRES RINCON USCATEGUI','H02K 5/124,H02K 5/18');</v>
      </c>
    </row>
    <row r="105" spans="1:11" ht="52.8" x14ac:dyDescent="0.3">
      <c r="A105" s="4" t="str">
        <f>HYPERLINK("http://sipi.sic.gov.co/sipi/View.ashx?4956700","NC2023/0016163")</f>
        <v>NC2023/0016163</v>
      </c>
      <c r="B105" s="1" t="s">
        <v>8</v>
      </c>
      <c r="C105" s="1" t="s">
        <v>365</v>
      </c>
      <c r="D105" s="2">
        <v>45259</v>
      </c>
      <c r="E105" s="1" t="s">
        <v>9</v>
      </c>
      <c r="F105" s="1" t="s">
        <v>366</v>
      </c>
      <c r="G105" s="1" t="s">
        <v>88</v>
      </c>
      <c r="H105" s="1" t="s">
        <v>367</v>
      </c>
      <c r="I105" s="18" t="s">
        <v>558</v>
      </c>
      <c r="J105" s="7"/>
      <c r="K105" t="str">
        <f t="shared" si="1"/>
        <v>INSERT INTO patentes(expediente,tipoPatente,titulo,fecha,estado,inventor, apoderado,cip ) VALUES('NC2023/0016163','Patente de Invención Nacional','EMULSIÓN EN AGUA QUE CONTIENE ABAMECTINA Y FOSTIAZATO Y MÉTODO DE PREPARACIÓN DE LA MISMA','2023-11-29','Publicada sin pago','Zhiqing LI,Jianwei WANG,Baochen ZHAO,Dong Li','JUAN CARLOS CUESTA QUINTERO','A61K 8/06,A61K 9/00,A61K 31/00,A61K 39/00');</v>
      </c>
    </row>
    <row r="106" spans="1:11" ht="79.2" x14ac:dyDescent="0.3">
      <c r="A106" s="4" t="str">
        <f>HYPERLINK("http://sipi.sic.gov.co/sipi/View.ashx?4970988","NC2023/0017031")</f>
        <v>NC2023/0017031</v>
      </c>
      <c r="B106" s="1" t="s">
        <v>8</v>
      </c>
      <c r="C106" s="1" t="s">
        <v>368</v>
      </c>
      <c r="D106" s="2">
        <v>45266</v>
      </c>
      <c r="E106" s="1" t="s">
        <v>9</v>
      </c>
      <c r="F106" s="1" t="s">
        <v>369</v>
      </c>
      <c r="G106" s="1" t="s">
        <v>78</v>
      </c>
      <c r="H106" s="1" t="s">
        <v>370</v>
      </c>
      <c r="I106" s="18" t="s">
        <v>578</v>
      </c>
      <c r="J106" s="7"/>
      <c r="K106" t="str">
        <f t="shared" si="1"/>
        <v>INSERT INTO patentes(expediente,tipoPatente,titulo,fecha,estado,inventor, apoderado,cip ) VALUES('NC2023/0017031','Patente de Invención Nacional','TEXTIL ELECTRÓNICO','2023-12-06','Publicada sin pago','MARIA CLARA RESTREPO RESTREPO,José Valentín Antonio  Restrepo Laverde,Cristina Isabel  Castro Herazo ,Jairo José  Pérez García,Juan Camilo  Palacio Valderrama','CARLOS REINALDO OLARTE GARCIA','H03K 17/00,G06F 13/00');</v>
      </c>
    </row>
    <row r="107" spans="1:11" ht="52.8" x14ac:dyDescent="0.3">
      <c r="A107" s="4" t="str">
        <f>HYPERLINK("http://sipi.sic.gov.co/sipi/View.ashx?4968119","NC2023/0016899")</f>
        <v>NC2023/0016899</v>
      </c>
      <c r="B107" s="1" t="s">
        <v>8</v>
      </c>
      <c r="C107" s="1" t="s">
        <v>371</v>
      </c>
      <c r="D107" s="2">
        <v>45265</v>
      </c>
      <c r="E107" s="1" t="s">
        <v>9</v>
      </c>
      <c r="F107" s="1" t="s">
        <v>372</v>
      </c>
      <c r="G107" s="1" t="s">
        <v>278</v>
      </c>
      <c r="H107" s="1" t="s">
        <v>373</v>
      </c>
      <c r="I107" s="19" t="s">
        <v>603</v>
      </c>
      <c r="J107" s="7"/>
      <c r="K107" t="str">
        <f t="shared" si="1"/>
        <v>INSERT INTO patentes(expediente,tipoPatente,titulo,fecha,estado,inventor, apoderado,cip ) VALUES('NC2023/0016899','Patente de Invención Nacional','APARATO Y MÉTODO PARA REGISTRAR UNA UBICACIÓN DE ALMACENAMIENTO POR TAMAÑO PARA TUBÉRCULOS COSECHADOS','2023-12-05','Publicada sin pago','Ighodaro  Emwinghare ,Colton  Campbell ,Ahmad Ali FALAH AL-MALLAHI','CAROLINA MERCEDES DAZA MONTALVO','G06T 7/30,G06T 1/00,G06T 1/60');</v>
      </c>
    </row>
    <row r="108" spans="1:11" ht="92.4" x14ac:dyDescent="0.3">
      <c r="A108" s="4" t="str">
        <f>HYPERLINK("http://sipi.sic.gov.co/sipi/View.ashx?5714113","NC2025/0007077")</f>
        <v>NC2025/0007077</v>
      </c>
      <c r="B108" s="1" t="s">
        <v>8</v>
      </c>
      <c r="C108" s="1" t="s">
        <v>374</v>
      </c>
      <c r="D108" s="2">
        <v>45805</v>
      </c>
      <c r="E108" s="1" t="s">
        <v>9</v>
      </c>
      <c r="F108" s="1" t="s">
        <v>375</v>
      </c>
      <c r="G108" s="1" t="s">
        <v>376</v>
      </c>
      <c r="H108" s="1" t="s">
        <v>377</v>
      </c>
      <c r="I108" s="19" t="s">
        <v>375</v>
      </c>
      <c r="J108" s="7"/>
      <c r="K108" t="str">
        <f t="shared" si="1"/>
        <v>INSERT INTO patentes(expediente,tipoPatente,titulo,fecha,estado,inventor, apoderado,cip ) VALUES('NC2025/0007077','Patente de Invención Nacional','INSTALACIÓN CIVIL PARA EL MEJORAMIENTO DEL SISTEMA DE IMPERMEABILIZACIÓN EN PLACAS DE CONCRETO EN CONTACTO CON TUBERÍAS Y EL MÉTODO DE CONSTRUCCIÓN DE DICHA INSTALACIÓN CIVIL','2025-05-28','Publicada sin pago','DIANA MARYORI GUEVARA LOZADA,CRISTIAN ALEXANDER GUEVARA CADAVID','LUIS EDUARDO QUINTERO VARGAS','F16L 1/038,F16L 58/16,F16L 33/22,F16L 11/04,F16L 41/10,F16L 55/053');</v>
      </c>
    </row>
    <row r="109" spans="1:11" ht="105.6" x14ac:dyDescent="0.3">
      <c r="A109" s="4" t="str">
        <f>HYPERLINK("http://sipi.sic.gov.co/sipi/View.ashx?5593711","NC2025/0004353")</f>
        <v>NC2025/0004353</v>
      </c>
      <c r="B109" s="1" t="s">
        <v>8</v>
      </c>
      <c r="C109" s="1" t="s">
        <v>378</v>
      </c>
      <c r="D109" s="2">
        <v>45779</v>
      </c>
      <c r="E109" s="1" t="s">
        <v>9</v>
      </c>
      <c r="F109" s="1" t="s">
        <v>379</v>
      </c>
      <c r="G109" s="1" t="s">
        <v>379</v>
      </c>
      <c r="H109" s="1" t="s">
        <v>380</v>
      </c>
      <c r="I109" s="19" t="s">
        <v>604</v>
      </c>
      <c r="J109" s="7"/>
      <c r="K109" t="str">
        <f t="shared" si="1"/>
        <v>INSERT INTO patentes(expediente,tipoPatente,titulo,fecha,estado,inventor, apoderado,cip ) VALUES('NC2025/0004353','Patente de Invención Nacional','SISTEMA INTEGRAL DE SEGURIDAD, VIGILANCIA Y ENTREGA AÉREA BASADA EN DRONES CON SENSORES INTELIGENTES DE RESPUESTA ADAPTATIVA','2025-05-02','Publicada sin pago','Eder Vargas Puerto','Eder Vargas Puerto','B03C 3/04,B03C 3/41,B03C 3/47,B03C 3/66,B64C 39/02,B64D 27/24,B64D 47/00,G06T 7/90');</v>
      </c>
    </row>
    <row r="110" spans="1:11" ht="145.19999999999999" x14ac:dyDescent="0.3">
      <c r="A110" s="4" t="str">
        <f>HYPERLINK("http://sipi.sic.gov.co/sipi/View.ashx?5483513","NC2024/0016659")</f>
        <v>NC2024/0016659</v>
      </c>
      <c r="B110" s="1" t="s">
        <v>8</v>
      </c>
      <c r="C110" s="1" t="s">
        <v>381</v>
      </c>
      <c r="D110" s="2">
        <v>45629</v>
      </c>
      <c r="E110" s="1" t="s">
        <v>9</v>
      </c>
      <c r="F110" s="1" t="s">
        <v>382</v>
      </c>
      <c r="G110" s="1" t="s">
        <v>78</v>
      </c>
      <c r="H110" s="1" t="s">
        <v>383</v>
      </c>
      <c r="I110" s="19" t="s">
        <v>605</v>
      </c>
      <c r="J110" s="7"/>
      <c r="K110" t="str">
        <f t="shared" si="1"/>
        <v>INSERT INTO patentes(expediente,tipoPatente,titulo,fecha,estado,inventor, apoderado,cip ) VALUES('NC2024/0016659','Patente de Invención Nacional','PREPARACIÓN IN SITU DE UN NANOCOMPOSITO DE PUNTOS CUÁNTICOS SENSIBLE A METALES PESADOS Y DISPOSITIVO PORTÁTIL PARA LA DETERMINACIÓN DE METALES PESADOS QUE COMPRENDE DICHO NANOCOMPOSITO','2024-12-03','Publicada sin pago','Daniel Alexander  Velazco Capacho,CRISTIAN BLANCO TIRADO,CARLOS LIZARDO CORZO RUIZ,Jhonny Mauricio Ceron Cifuentes,MARIANNY YAJAIRA  COMBARIZA,DANIEL ALFONSO  AMAYA GARCÍA,RAFAEL AUGUSTO  NÚÑEZ RODRÍGUEZ,CRISTHIAM JESID  GUTIÉRREZ LOZANO,CARLOS IVÁN NOVA PINZÓN','CARLOS REINALDO OLARTE GARCIA','G06F 3/00,C09K 11/00,C12Q 1/6841');</v>
      </c>
    </row>
    <row r="111" spans="1:11" ht="105.6" x14ac:dyDescent="0.3">
      <c r="A111" s="4" t="str">
        <f>HYPERLINK("http://sipi.sic.gov.co/sipi/View.ashx?5718961","NC2025/0007076")</f>
        <v>NC2025/0007076</v>
      </c>
      <c r="B111" s="1" t="s">
        <v>8</v>
      </c>
      <c r="C111" s="1" t="s">
        <v>384</v>
      </c>
      <c r="D111" s="2">
        <v>45805</v>
      </c>
      <c r="E111" s="1" t="s">
        <v>9</v>
      </c>
      <c r="F111" s="1" t="s">
        <v>385</v>
      </c>
      <c r="G111" s="1" t="s">
        <v>386</v>
      </c>
      <c r="H111" s="1" t="s">
        <v>387</v>
      </c>
      <c r="I111" s="19" t="s">
        <v>606</v>
      </c>
      <c r="J111" s="7"/>
      <c r="K111" t="str">
        <f t="shared" si="1"/>
        <v>INSERT INTO patentes(expediente,tipoPatente,titulo,fecha,estado,inventor, apoderado,cip ) VALUES('NC2025/0007076','Patente de Invención Nacional','KIT DE CONEXIÓN DE BARRAS DE SECCIÓN CILÍNDRICA PARA LA CONSTRUCCIÓN DE ESTRUCTURAS RETICULADAS','2025-05-28','Publicada sin pago','MANUEL FERNANDO  MARTÍNEZ FORERO','EDWIN CICERY VEGA','E04B 1/58,E04C 2/16,E04C 3/12,F16B 7/04,E04B 1/26,F16B 7/00,F16B 7/18,F16C 11/04');</v>
      </c>
    </row>
    <row r="112" spans="1:11" ht="39.6" x14ac:dyDescent="0.3">
      <c r="A112" s="4" t="str">
        <f>HYPERLINK("http://sipi.sic.gov.co/sipi/View.ashx?5393358","NC2024/0013377")</f>
        <v>NC2024/0013377</v>
      </c>
      <c r="B112" s="1" t="s">
        <v>8</v>
      </c>
      <c r="C112" s="1" t="s">
        <v>388</v>
      </c>
      <c r="D112" s="2">
        <v>45565</v>
      </c>
      <c r="E112" s="1" t="s">
        <v>9</v>
      </c>
      <c r="F112" s="1" t="s">
        <v>389</v>
      </c>
      <c r="G112" s="1" t="s">
        <v>389</v>
      </c>
      <c r="H112" s="1" t="s">
        <v>390</v>
      </c>
      <c r="I112" s="19" t="s">
        <v>607</v>
      </c>
      <c r="J112" s="7"/>
      <c r="K112" t="str">
        <f t="shared" si="1"/>
        <v>INSERT INTO patentes(expediente,tipoPatente,titulo,fecha,estado,inventor, apoderado,cip ) VALUES('NC2024/0013377','Patente de Invención Nacional','TANQUE DOBLE PARED DESMONTABLE DE BASE CUADRANGULAR ','2024-09-30','Publicada sin pago','DANIEL SANTIAGO BETANCOURT HUERFANO','DANIEL SANTIAGO BETANCOURT HUERFANO','B29C 44/34');</v>
      </c>
    </row>
    <row r="113" spans="1:11" ht="145.19999999999999" x14ac:dyDescent="0.3">
      <c r="A113" s="4" t="str">
        <f>HYPERLINK("http://sipi.sic.gov.co/sipi/View.ashx?4962203","NC2023/0016703")</f>
        <v>NC2023/0016703</v>
      </c>
      <c r="B113" s="1" t="s">
        <v>8</v>
      </c>
      <c r="C113" s="1" t="s">
        <v>391</v>
      </c>
      <c r="D113" s="2">
        <v>45260</v>
      </c>
      <c r="E113" s="1" t="s">
        <v>9</v>
      </c>
      <c r="F113" s="1" t="s">
        <v>392</v>
      </c>
      <c r="G113" s="1" t="s">
        <v>286</v>
      </c>
      <c r="H113" s="1" t="s">
        <v>393</v>
      </c>
      <c r="I113" s="19" t="s">
        <v>589</v>
      </c>
      <c r="J113" s="7"/>
      <c r="K113" t="str">
        <f t="shared" si="1"/>
        <v>INSERT INTO patentes(expediente,tipoPatente,titulo,fecha,estado,inventor, apoderado,cip ) VALUES('NC2023/0016703','Patente de Invención Nacional','SISTEMA DE ALCALINIZACIÓN POR ELECTROQUÍMICA PARA REMOCIÓN DE CATIONES DUROS POR MINERALIZACIÓN DE CO2 DE AGUAS DE LA INDUSTRIA DE PETRÓLEO Y GAS','2023-11-30','Publicada sin pago','JOSÉ ARISTÓBULO SARMIENTO CHAPARRO,GLORIA ISABEL DUARTE POVEDA,EDGAR FERNANDO CASTILLO MONROY,Dalje Sunith BARBOSA TRILLOS,DANIEL ALEJANDRO PATROUILLEAU QUINTANA,Carlos Alberto Echeverry Gonzalez,CAMILO ENRIQUE LA ROTTA HERNANDEZ','LUZ MARA HERRERA HERRERA','C02F 1/00,C02F 1/28,C02F 1/46,C02F 1/461,C02F 9/00');</v>
      </c>
    </row>
    <row r="114" spans="1:11" ht="92.4" x14ac:dyDescent="0.3">
      <c r="A114" s="4" t="str">
        <f>HYPERLINK("http://sipi.sic.gov.co/sipi/View.ashx?4962235","NC2023/0016709")</f>
        <v>NC2023/0016709</v>
      </c>
      <c r="B114" s="1" t="s">
        <v>8</v>
      </c>
      <c r="C114" s="1" t="s">
        <v>394</v>
      </c>
      <c r="D114" s="2">
        <v>45260</v>
      </c>
      <c r="E114" s="1" t="s">
        <v>9</v>
      </c>
      <c r="F114" s="1" t="s">
        <v>395</v>
      </c>
      <c r="G114" s="1" t="s">
        <v>286</v>
      </c>
      <c r="H114" s="1" t="s">
        <v>396</v>
      </c>
      <c r="I114" s="19" t="s">
        <v>589</v>
      </c>
      <c r="J114" s="7"/>
      <c r="K114" t="str">
        <f t="shared" si="1"/>
        <v>INSERT INTO patentes(expediente,tipoPatente,titulo,fecha,estado,inventor, apoderado,cip ) VALUES('NC2023/0016709','Patente de Invención Nacional','MÉTODO ELECTROQUÍMICO DE REMOCIÓN DE CATIONES DUROS ACOPLADO A DESCARBONIZACIÓN, CON APLICACIÓN AL SUAVIZADO DE AGUAS DE INYECCIÓN EN LA INDUSTRIA DE PETRÓLEO Y GAS NATURAL','2023-11-30','Publicada sin pago','DANIEL ALEJANDRO PATROUILLEAU QUINTANA,Carlos Alberto Echeverry Gonzalez,CAMILO ENRIQUE LA ROTTA HERNANDEZ','LUZ MARA HERRERA HERRERA','C23G 5/00');</v>
      </c>
    </row>
    <row r="115" spans="1:11" ht="92.4" x14ac:dyDescent="0.3">
      <c r="A115" s="4" t="str">
        <f>HYPERLINK("http://sipi.sic.gov.co/sipi/View.ashx?4956416","NC2023/0016657")</f>
        <v>NC2023/0016657</v>
      </c>
      <c r="B115" s="1" t="s">
        <v>8</v>
      </c>
      <c r="C115" s="1" t="s">
        <v>397</v>
      </c>
      <c r="D115" s="2">
        <v>45260</v>
      </c>
      <c r="E115" s="1" t="s">
        <v>9</v>
      </c>
      <c r="F115" s="1" t="s">
        <v>398</v>
      </c>
      <c r="G115" s="1" t="s">
        <v>286</v>
      </c>
      <c r="H115" s="1" t="s">
        <v>399</v>
      </c>
      <c r="I115" s="19" t="s">
        <v>608</v>
      </c>
      <c r="J115" s="7"/>
      <c r="K115" t="str">
        <f t="shared" si="1"/>
        <v>INSERT INTO patentes(expediente,tipoPatente,titulo,fecha,estado,inventor, apoderado,cip ) VALUES('NC2023/0016657','Patente de Invención Nacional','MÉTODO DE PRODUCCIÓN DE BIOCERA CON ALTO CONTENIDO DE ÉSTERES CEROSOS','2023-11-30','Publicada sin pago','LAURA LILIANA GARZÓN FUENTES,Giovanny Arnulfo  Olarte Suarez,ANDRES FERNANDO RAMIREZ QUINTERO,DEBORA ALCIDA NABARLATZ,JULY CAROLINA VIVAS BAEZ,Luis Javier  LÓPEZ GIRALDO','LUZ MARA HERRERA HERRERA','C10G 3/00,C10G 45/58,C07C 1/00');</v>
      </c>
    </row>
    <row r="116" spans="1:11" ht="66" x14ac:dyDescent="0.3">
      <c r="A116" s="4" t="str">
        <f>HYPERLINK("http://sipi.sic.gov.co/sipi/View.ashx?4966970","NC2023/0016853")</f>
        <v>NC2023/0016853</v>
      </c>
      <c r="B116" s="1" t="s">
        <v>8</v>
      </c>
      <c r="C116" s="1" t="s">
        <v>400</v>
      </c>
      <c r="D116" s="2">
        <v>45264</v>
      </c>
      <c r="E116" s="1" t="s">
        <v>9</v>
      </c>
      <c r="F116" s="1" t="s">
        <v>401</v>
      </c>
      <c r="G116" s="1" t="s">
        <v>78</v>
      </c>
      <c r="H116" s="1" t="s">
        <v>402</v>
      </c>
      <c r="I116" s="19" t="s">
        <v>609</v>
      </c>
      <c r="J116" s="7"/>
      <c r="K116" t="str">
        <f t="shared" si="1"/>
        <v>INSERT INTO patentes(expediente,tipoPatente,titulo,fecha,estado,inventor, apoderado,cip ) VALUES('NC2023/0016853','Patente de Invención Nacional','MARCO DE TRANSICIÓN DE BARRERA','2023-12-04','Publicada sin pago','Benjamin Fraser Powell,William Price Longstreet,Dean Clinton Alberson','CARLOS REINALDO OLARTE GARCIA','E01F 9/669,E01F 13/00,E01F 13/10,E01F 15/00,E01F 15/02');</v>
      </c>
    </row>
    <row r="117" spans="1:11" ht="66" x14ac:dyDescent="0.3">
      <c r="A117" s="4" t="str">
        <f>HYPERLINK("http://sipi.sic.gov.co/sipi/View.ashx?4980598","NC2023/0017271")</f>
        <v>NC2023/0017271</v>
      </c>
      <c r="B117" s="1" t="s">
        <v>8</v>
      </c>
      <c r="C117" s="1" t="s">
        <v>403</v>
      </c>
      <c r="D117" s="2">
        <v>45273</v>
      </c>
      <c r="E117" s="1" t="s">
        <v>9</v>
      </c>
      <c r="F117" s="1" t="s">
        <v>404</v>
      </c>
      <c r="G117" s="1" t="s">
        <v>405</v>
      </c>
      <c r="H117" s="1" t="s">
        <v>406</v>
      </c>
      <c r="I117" s="19" t="s">
        <v>610</v>
      </c>
      <c r="J117" s="7"/>
      <c r="K117" t="str">
        <f t="shared" si="1"/>
        <v>INSERT INTO patentes(expediente,tipoPatente,titulo,fecha,estado,inventor, apoderado,cip ) VALUES('NC2023/0017271','Patente de Invención Nacional','SISTEMA DE PREPARACIÓN Y FILTRADO DE INFUSIONES QUE COMPRENDE UN MÓDULO CONTENEDOR Y UN MÓDULO DE FILTRADO Y CIERRE INTEGRADOS','2023-12-13','Publicada sin pago','LUIS FERNANDO VELEZ ZULUAGA,HUGO ANDRES LOPEZ ,VICENTE DE JESÚS FRANCO BAYONA','HUGO ANDRES LOPEZ ','A47G 19/14,A23L 2/00,A47J 31/06,A47J 31/42,A47J 31/44');</v>
      </c>
    </row>
    <row r="118" spans="1:11" ht="39.6" x14ac:dyDescent="0.3">
      <c r="A118" s="4" t="str">
        <f>HYPERLINK("http://sipi.sic.gov.co/sipi/View.ashx?5681914","NC2025/0005847")</f>
        <v>NC2025/0005847</v>
      </c>
      <c r="B118" s="1" t="s">
        <v>8</v>
      </c>
      <c r="C118" s="1" t="s">
        <v>407</v>
      </c>
      <c r="D118" s="2">
        <v>45783</v>
      </c>
      <c r="E118" s="1" t="s">
        <v>9</v>
      </c>
      <c r="F118" s="1" t="s">
        <v>408</v>
      </c>
      <c r="G118" s="1" t="s">
        <v>128</v>
      </c>
      <c r="H118" s="1" t="s">
        <v>409</v>
      </c>
      <c r="I118" s="20" t="s">
        <v>611</v>
      </c>
      <c r="J118" s="7"/>
      <c r="K118" t="str">
        <f t="shared" si="1"/>
        <v>INSERT INTO patentes(expediente,tipoPatente,titulo,fecha,estado,inventor, apoderado,cip ) VALUES('NC2025/0005847','Patente de Invención Nacional','SNACKS DE FRUTA LIOFILIZADA Y PROCESO DE FABRICACIÓN','2025-05-06','Publicada sin pago','Juan Pablo Ortiz Rosas,Juan Carlos Quitian Romero,ALBA LORENA  BENAVIDES SIERRA','HUGO DANIEL   GONZALEZ HERNANDEZ','A23L 35/00,A23L 27/12,A23L 19/00');</v>
      </c>
    </row>
    <row r="119" spans="1:11" ht="52.8" x14ac:dyDescent="0.3">
      <c r="A119" s="4" t="str">
        <f>HYPERLINK("http://sipi.sic.gov.co/sipi/View.ashx?5700062","NC2025/0006456")</f>
        <v>NC2025/0006456</v>
      </c>
      <c r="B119" s="1" t="s">
        <v>8</v>
      </c>
      <c r="C119" s="1" t="s">
        <v>410</v>
      </c>
      <c r="D119" s="2">
        <v>45796</v>
      </c>
      <c r="E119" s="1" t="s">
        <v>9</v>
      </c>
      <c r="F119" s="1" t="s">
        <v>411</v>
      </c>
      <c r="G119" s="1" t="s">
        <v>411</v>
      </c>
      <c r="H119" s="1" t="s">
        <v>412</v>
      </c>
      <c r="I119" s="20" t="s">
        <v>411</v>
      </c>
      <c r="J119" s="7"/>
      <c r="K119" t="str">
        <f t="shared" si="1"/>
        <v>INSERT INTO patentes(expediente,tipoPatente,titulo,fecha,estado,inventor, apoderado,cip ) VALUES('NC2025/0006456','Patente de Invención Nacional','DISPOSITIVO DE TRATAMIENTO Y RECIRCULACION DE AGUA EN SANITARIOS Y SU METODO DE CONTROL','2025-05-19','Publicada sin pago','ethan steven ramirez betancur','ethan steven ramirez betancur','C02F 1/00,C02F 3/00,C02F 1/28,C02F 3/34');</v>
      </c>
    </row>
    <row r="120" spans="1:11" ht="79.2" x14ac:dyDescent="0.3">
      <c r="A120" s="4" t="str">
        <f>HYPERLINK("http://sipi.sic.gov.co/sipi/View.ashx?5664332","NC2025/0005079")</f>
        <v>NC2025/0005079</v>
      </c>
      <c r="B120" s="1" t="s">
        <v>8</v>
      </c>
      <c r="C120" s="1" t="s">
        <v>413</v>
      </c>
      <c r="D120" s="2">
        <v>45770</v>
      </c>
      <c r="E120" s="1" t="s">
        <v>9</v>
      </c>
      <c r="F120" s="1" t="s">
        <v>414</v>
      </c>
      <c r="G120" s="1" t="s">
        <v>143</v>
      </c>
      <c r="H120" s="1" t="s">
        <v>415</v>
      </c>
      <c r="I120" s="20" t="s">
        <v>612</v>
      </c>
      <c r="J120" s="7"/>
      <c r="K120" t="str">
        <f t="shared" si="1"/>
        <v>INSERT INTO patentes(expediente,tipoPatente,titulo,fecha,estado,inventor, apoderado,cip ) VALUES('NC2025/0005079','Patente de Invención Nacional','HERRAMIENTA DE CORTE DE EMERGENCIA DE CABLE ESP APLICABLE EN EXTRACCIÓN DE HIDROCARBUROS POR MEDIO DE BOMBEO ELECTRO SUMERGIBLE','2025-04-23','Publicada sin pago','Julian David  Saavedra Lozano ','SANDRA MILENA RODRIGUEZ SARMIENTO','E21B 7/15,E21B 43/112,E21B 43/00,E21B 15/02,E21B 19/09,E21B 3/02');</v>
      </c>
    </row>
    <row r="121" spans="1:11" ht="92.4" x14ac:dyDescent="0.3">
      <c r="A121" s="4" t="str">
        <f>HYPERLINK("http://sipi.sic.gov.co/sipi/View.ashx?4982132","NC2023/0017351")</f>
        <v>NC2023/0017351</v>
      </c>
      <c r="B121" s="1" t="s">
        <v>8</v>
      </c>
      <c r="C121" s="1" t="s">
        <v>416</v>
      </c>
      <c r="D121" s="2">
        <v>45274</v>
      </c>
      <c r="E121" s="1" t="s">
        <v>9</v>
      </c>
      <c r="F121" s="1" t="s">
        <v>417</v>
      </c>
      <c r="G121" s="1" t="s">
        <v>60</v>
      </c>
      <c r="H121" s="1" t="s">
        <v>418</v>
      </c>
      <c r="I121" s="20" t="s">
        <v>552</v>
      </c>
      <c r="J121" s="7"/>
      <c r="K121" t="str">
        <f t="shared" si="1"/>
        <v>INSERT INTO patentes(expediente,tipoPatente,titulo,fecha,estado,inventor, apoderado,cip ) VALUES('NC2023/0017351','Patente de Invención Nacional','SISTEMA DE ASISTENCIA PARA LA CONDUCCIÓN Y MONITOREO ESPACIAL DEL ENTORNO PARA VEHÍCULO','2023-12-14','Publicada sin pago','PEDRO JULIÁN  GARCÍA GUARÍN ,José Antonio BORRAEZ CASTRO,Juan Diego MÉNDEZ TACHE,Rossemberg ESPINEL,Andrés Camilo RODRÍGUEZ ROBERTO,Ana María VIRVIESCAS PÉREZ,Michael Andrés CACAIS MANRIQUE','LIZBETH CALVO','B60W 50/00,B60W 30/08,H04M 1/725,H04W 48/04,H04L 12/40');</v>
      </c>
    </row>
    <row r="122" spans="1:11" ht="52.8" x14ac:dyDescent="0.3">
      <c r="A122" s="4" t="str">
        <f>HYPERLINK("http://sipi.sic.gov.co/sipi/View.ashx?4982214","NC2023/0017357")</f>
        <v>NC2023/0017357</v>
      </c>
      <c r="B122" s="1" t="s">
        <v>8</v>
      </c>
      <c r="C122" s="1" t="s">
        <v>419</v>
      </c>
      <c r="D122" s="2">
        <v>45274</v>
      </c>
      <c r="E122" s="1" t="s">
        <v>9</v>
      </c>
      <c r="F122" s="1" t="s">
        <v>420</v>
      </c>
      <c r="G122" s="1" t="s">
        <v>60</v>
      </c>
      <c r="H122" s="1" t="s">
        <v>421</v>
      </c>
      <c r="I122" s="20" t="s">
        <v>552</v>
      </c>
      <c r="J122" s="7"/>
      <c r="K122" t="str">
        <f t="shared" si="1"/>
        <v>INSERT INTO patentes(expediente,tipoPatente,titulo,fecha,estado,inventor, apoderado,cip ) VALUES('NC2023/0017357','Patente de Invención Nacional','DISPOSITIVO PARA EL APRENDIZAJE DEL SISTEMA BRAILLE MEDIANTE EL USO DE ONDAS DE ULTRASONIDO','2023-12-14','Publicada sin pago','Juan Esteban MERCHÁN BALAGUERA,Álvaro FERNÁNDEZ ACEVEDO','LIZBETH CALVO','G06F 3/01,G06T 7/40,G06T 19/00,G06F 3/042');</v>
      </c>
    </row>
    <row r="123" spans="1:11" ht="39.6" x14ac:dyDescent="0.3">
      <c r="A123" s="4" t="str">
        <f>HYPERLINK("http://sipi.sic.gov.co/sipi/View.ashx?5734544","NC2025/0007623")</f>
        <v>NC2025/0007623</v>
      </c>
      <c r="B123" s="1" t="s">
        <v>8</v>
      </c>
      <c r="C123" s="1" t="s">
        <v>422</v>
      </c>
      <c r="D123" s="2">
        <v>45817</v>
      </c>
      <c r="E123" s="1" t="s">
        <v>9</v>
      </c>
      <c r="F123" s="1" t="s">
        <v>423</v>
      </c>
      <c r="G123" s="1" t="s">
        <v>423</v>
      </c>
      <c r="H123" s="1" t="s">
        <v>424</v>
      </c>
      <c r="I123" s="20" t="s">
        <v>423</v>
      </c>
      <c r="J123" s="7"/>
      <c r="K123" t="str">
        <f t="shared" si="1"/>
        <v>INSERT INTO patentes(expediente,tipoPatente,titulo,fecha,estado,inventor, apoderado,cip ) VALUES('NC2025/0007623','Patente de Invención Nacional','INFILTROMETRO DE FLOTADOR EN SATURACIÓN ','2025-06-09','Publicada sin pago','Cristian Angarita Parra','Cristian Angarita Parra','E02B 11/00,G01N 15/08,G01N 33/24');</v>
      </c>
    </row>
    <row r="124" spans="1:11" ht="66" x14ac:dyDescent="0.3">
      <c r="A124" s="4" t="str">
        <f>HYPERLINK("http://sipi.sic.gov.co/sipi/View.ashx?5735704","NC2025/0007653")</f>
        <v>NC2025/0007653</v>
      </c>
      <c r="B124" s="1" t="s">
        <v>8</v>
      </c>
      <c r="C124" s="1" t="s">
        <v>425</v>
      </c>
      <c r="D124" s="2">
        <v>45818</v>
      </c>
      <c r="E124" s="1" t="s">
        <v>9</v>
      </c>
      <c r="F124" s="1" t="s">
        <v>426</v>
      </c>
      <c r="G124" s="1" t="s">
        <v>29</v>
      </c>
      <c r="H124" s="1" t="s">
        <v>427</v>
      </c>
      <c r="I124" s="20" t="s">
        <v>613</v>
      </c>
      <c r="J124" s="7"/>
      <c r="K124" t="str">
        <f t="shared" si="1"/>
        <v>INSERT INTO patentes(expediente,tipoPatente,titulo,fecha,estado,inventor, apoderado,cip ) VALUES('NC2025/0007653','Patente de Invención Nacional','DISPOSITIVO DE CONTROL DE CONDICIONES Y PARAMETROS EN UNA INCUBADORA POR MEDIO DE COMUNICACIÓN INALAMBRICA','2025-06-10','Publicada sin pago','PEDRO ANTONIO AYA PARRA,JEFFERSON STEVEN SARMIENTO ROJAS,Viviana Rodriguez Torres,Nidia Patricia Córdoba Hernández','CLAUDIA LUCIA CARO RAMIREZ','G05B 19/048,G05D 23/20,A61G 11/00,G01D 21/02');</v>
      </c>
    </row>
    <row r="125" spans="1:11" ht="66" x14ac:dyDescent="0.3">
      <c r="A125" s="4" t="str">
        <f>HYPERLINK("http://sipi.sic.gov.co/sipi/View.ashx?5565388","NC2025/0001509")</f>
        <v>NC2025/0001509</v>
      </c>
      <c r="B125" s="1" t="s">
        <v>8</v>
      </c>
      <c r="C125" s="1" t="s">
        <v>428</v>
      </c>
      <c r="D125" s="2">
        <v>45700</v>
      </c>
      <c r="E125" s="1" t="s">
        <v>9</v>
      </c>
      <c r="F125" s="1" t="s">
        <v>429</v>
      </c>
      <c r="G125" s="1" t="s">
        <v>430</v>
      </c>
      <c r="H125" s="1" t="s">
        <v>431</v>
      </c>
      <c r="I125" s="20" t="s">
        <v>429</v>
      </c>
      <c r="J125" s="7"/>
      <c r="K125" t="str">
        <f t="shared" si="1"/>
        <v>INSERT INTO patentes(expediente,tipoPatente,titulo,fecha,estado,inventor, apoderado,cip ) VALUES('NC2025/0001509','Patente de Invención Nacional','SISTEMA INCINERADOR DE DESECHOS CON TRATAMIENTO DE GASES RESIDUALES PARA ELIMINACIÓN DE DIÓXIDO DE CARBONO','2025-02-12','Publicada sin pago','LUIS ANGEL CASTRILLON ARDILA','FERNANDO TRIANA SOTO','B01D 46/34,B01D 46/50,B01D 47/04');</v>
      </c>
    </row>
    <row r="126" spans="1:11" ht="66" x14ac:dyDescent="0.3">
      <c r="A126" s="4" t="str">
        <f>HYPERLINK("http://sipi.sic.gov.co/sipi/View.ashx?5644740","NC2025/0004474")</f>
        <v>NC2025/0004474</v>
      </c>
      <c r="B126" s="1" t="s">
        <v>8</v>
      </c>
      <c r="C126" s="1" t="s">
        <v>432</v>
      </c>
      <c r="D126" s="2">
        <v>45754</v>
      </c>
      <c r="E126" s="1" t="s">
        <v>9</v>
      </c>
      <c r="F126" s="1" t="s">
        <v>433</v>
      </c>
      <c r="G126" s="1" t="s">
        <v>74</v>
      </c>
      <c r="H126" s="1" t="s">
        <v>434</v>
      </c>
      <c r="I126" s="20" t="s">
        <v>433</v>
      </c>
      <c r="J126" s="7"/>
      <c r="K126" t="str">
        <f t="shared" si="1"/>
        <v>INSERT INTO patentes(expediente,tipoPatente,titulo,fecha,estado,inventor, apoderado,cip ) VALUES('NC2025/0004474','Patente de Invención Nacional','MUEBLE TRANSPORTABLE RECOLECTOR DE BOTELLAS','2025-04-07','Publicada sin pago','MARIO ERNESTO PEREZ GUTIERREZ','CARLOS FERNANDO TAMAYO LOPEZ','B65D 77/12,B65D 90/00,B65D 88/60,B65D 88/12,B65D 5/496');</v>
      </c>
    </row>
    <row r="127" spans="1:11" ht="52.8" x14ac:dyDescent="0.3">
      <c r="A127" s="4" t="str">
        <f>HYPERLINK("http://sipi.sic.gov.co/sipi/View.ashx?5251632","NC2024/0008059")</f>
        <v>NC2024/0008059</v>
      </c>
      <c r="B127" s="1" t="s">
        <v>8</v>
      </c>
      <c r="C127" s="1" t="s">
        <v>435</v>
      </c>
      <c r="D127" s="1" t="s">
        <v>436</v>
      </c>
      <c r="E127" s="1" t="s">
        <v>9</v>
      </c>
      <c r="F127" s="1" t="s">
        <v>437</v>
      </c>
      <c r="G127" s="1" t="s">
        <v>438</v>
      </c>
      <c r="H127" s="1" t="s">
        <v>439</v>
      </c>
      <c r="I127" s="20" t="s">
        <v>614</v>
      </c>
      <c r="J127" s="7"/>
      <c r="K127" t="str">
        <f t="shared" si="1"/>
        <v>INSERT INTO patentes(expediente,tipoPatente,titulo,fecha,estado,inventor, apoderado,cip ) VALUES('NC2024/0008059','Patente de Invención Nacional','DISPOSITIVO DE EXTRACCIÓN DE AIRE EN CONTENEDORES  ','21-06-. 2024','Publicada sin pago','ELIZABETH RENDON VELEZ,DAVID  RIOS ZAPATA,Paola Andrea Vallejo Correa,Santiago Ruiz Arenas','MARIA PAULA PÉREZ GÓMEZ','B65F 1/06,B65F 1/08,B65D 25/14');</v>
      </c>
    </row>
    <row r="128" spans="1:11" ht="66" x14ac:dyDescent="0.3">
      <c r="A128" s="4" t="str">
        <f>HYPERLINK("http://sipi.sic.gov.co/sipi/View.ashx?4993914","NC2023/0018155")</f>
        <v>NC2023/0018155</v>
      </c>
      <c r="B128" s="1" t="s">
        <v>8</v>
      </c>
      <c r="C128" s="1" t="s">
        <v>440</v>
      </c>
      <c r="D128" s="1" t="s">
        <v>441</v>
      </c>
      <c r="E128" s="1" t="s">
        <v>9</v>
      </c>
      <c r="F128" s="1" t="s">
        <v>442</v>
      </c>
      <c r="G128" s="1" t="s">
        <v>443</v>
      </c>
      <c r="H128" s="1" t="s">
        <v>444</v>
      </c>
      <c r="I128" s="21" t="s">
        <v>615</v>
      </c>
      <c r="J128" s="7"/>
      <c r="K128" t="str">
        <f t="shared" si="1"/>
        <v>INSERT INTO patentes(expediente,tipoPatente,titulo,fecha,estado,inventor, apoderado,cip ) VALUES('NC2023/0018155','Patente de Invención Nacional','BIOESTIMULANTE VEGETAL A BASE DE CONCENTRADO DE MUCÍLAGO DE CAFÉ','21-12-. 2023','Publicada sin pago','ANDRES RAMIREZ VELEZ,JUAN CARLOS JARAMILLO LOPEZ','Andrés  Córdoba','A23F 5/00,A23F 5/02,A23F 5/10,A23F 5/24,A23F 5/46');</v>
      </c>
    </row>
    <row r="129" spans="1:11" ht="66" x14ac:dyDescent="0.3">
      <c r="A129" s="4" t="str">
        <f>HYPERLINK("http://sipi.sic.gov.co/sipi/View.ashx?4978716","NC2023/0017893")</f>
        <v>NC2023/0017893</v>
      </c>
      <c r="B129" s="1" t="s">
        <v>8</v>
      </c>
      <c r="C129" s="1" t="s">
        <v>445</v>
      </c>
      <c r="D129" s="1" t="s">
        <v>446</v>
      </c>
      <c r="E129" s="1" t="s">
        <v>9</v>
      </c>
      <c r="F129" s="1" t="s">
        <v>447</v>
      </c>
      <c r="G129" s="1" t="s">
        <v>448</v>
      </c>
      <c r="H129" s="1" t="s">
        <v>449</v>
      </c>
      <c r="I129" s="21" t="s">
        <v>616</v>
      </c>
      <c r="J129" s="7"/>
      <c r="K129" t="str">
        <f t="shared" si="1"/>
        <v>INSERT INTO patentes(expediente,tipoPatente,titulo,fecha,estado,inventor, apoderado,cip ) VALUES('NC2023/0017893','Patente de Invención Nacional','APARATO PARA LA PRODUCCIÓN DE FILAMENTOS','19-12-. 2023','Publicada sin pago','Stephan Gerharz','ADRIANA PAOLA PEÑARANDA URBINA','B29C 48/30,D01D 4/02,D01D 4/06,D01D 1/00,D01D 5/00');</v>
      </c>
    </row>
    <row r="130" spans="1:11" ht="92.4" x14ac:dyDescent="0.3">
      <c r="A130" s="4" t="str">
        <f>HYPERLINK("http://sipi.sic.gov.co/sipi/View.ashx?5509320","NC2024/0017757")</f>
        <v>NC2024/0017757</v>
      </c>
      <c r="B130" s="1" t="s">
        <v>8</v>
      </c>
      <c r="C130" s="1" t="s">
        <v>450</v>
      </c>
      <c r="D130" s="1" t="s">
        <v>451</v>
      </c>
      <c r="E130" s="1" t="s">
        <v>9</v>
      </c>
      <c r="F130" s="1" t="s">
        <v>452</v>
      </c>
      <c r="G130" s="1" t="s">
        <v>11</v>
      </c>
      <c r="H130" s="1" t="s">
        <v>453</v>
      </c>
      <c r="I130" s="21" t="s">
        <v>579</v>
      </c>
      <c r="J130" s="7"/>
      <c r="K130" t="str">
        <f t="shared" si="1"/>
        <v>INSERT INTO patentes(expediente,tipoPatente,titulo,fecha,estado,inventor, apoderado,cip ) VALUES('NC2024/0017757','Patente de Invención Nacional','COMPOSICIÓN FARMACÉUTICA SINÉRGICA Y ESTABLE DE UN AINE Y UN ANALGÉSICO OPIOIDE PARA EL DOLOR E INFLAMACIÓN','23-12-. 2024','Publicada sin pago','Jorge Alejandro GONZÁLEZ CANUDAS,Cecilia Jannette MUÑOZ MARTINEZ,Marco Antonio ESPINOSA OLIVARES,Paola Yazmín OLLERVIDES RUBIO,José Guillermo SANDER PADILLA','ALICIA LLOREDA RICAURTE','A61K 9/00,A61K 9/14,A61K 9/20,A61K 9/48,A61K 31/135,A61K 31/137,A61K 31/444');</v>
      </c>
    </row>
    <row r="131" spans="1:11" ht="105.6" x14ac:dyDescent="0.3">
      <c r="A131" s="4" t="str">
        <f>HYPERLINK("http://sipi.sic.gov.co/sipi/View.ashx?5506566","NC2024/0017538")</f>
        <v>NC2024/0017538</v>
      </c>
      <c r="B131" s="1" t="s">
        <v>8</v>
      </c>
      <c r="C131" s="1" t="s">
        <v>454</v>
      </c>
      <c r="D131" s="1" t="s">
        <v>455</v>
      </c>
      <c r="E131" s="1" t="s">
        <v>9</v>
      </c>
      <c r="F131" s="1" t="s">
        <v>456</v>
      </c>
      <c r="G131" s="1" t="s">
        <v>350</v>
      </c>
      <c r="H131" s="1" t="s">
        <v>457</v>
      </c>
      <c r="I131" s="21" t="s">
        <v>577</v>
      </c>
      <c r="J131" s="7"/>
      <c r="K131" t="str">
        <f t="shared" ref="K131:K157" si="2">"INSERT INTO patentes(expediente,tipoPatente,titulo,fecha,estado,inventor, apoderado,cip ) VALUES('"&amp;TRIM(CLEAN(A131))&amp;"','"&amp;CLEAN(B131)&amp;"','"&amp;CLEAN(C131)&amp;"','"&amp;TEXT(D131,"yyyy-MM-dd")&amp;"','"&amp;CLEAN(E131)&amp;"','"&amp;CLEAN(F131)&amp;"','"&amp;CLEAN(G131)&amp;"','"&amp;TRIM(CLEAN(H131))&amp;"');"</f>
        <v>INSERT INTO patentes(expediente,tipoPatente,titulo,fecha,estado,inventor, apoderado,cip ) VALUES('NC2024/0017538','Patente de Invención Nacional','MÉTODO PARA PRODUCIR METABOLITOS PROTEICOS PEGILADOS CON ACTIVIDAD ANTIVIRAL,  ANTIBACTERIANA Y REPARADORA DE LA ESTRUCTURA INTESTINAL, A PARTIR DE UN CULTIVO BACTERIANO DE BIFIDOBACTERIUM ADOLESCENTIS','20-12-. 2024','Publicada sin pago','María José  Hernández Zuluaga ,María Belén  Cabrera Castro,Nury Nathalia  Olaya Galán,Geimnir Yazmin  Lopez Rozo,Sandra Patricia  Salas Cárdenas,Karem Prunella  Fernandez Duarte,Balkys Esmeralda  Quevedo Hidalgo,Juan Carlos  Ulloa Rubiano','JOSE ANDRES RINCON USCATEGUI','C12N 1/00,C12N 1/20,C12N 15/00,C12N 9/00,C12N 5/00');</v>
      </c>
    </row>
    <row r="132" spans="1:11" ht="79.2" x14ac:dyDescent="0.3">
      <c r="A132" s="4" t="str">
        <f>HYPERLINK("http://sipi.sic.gov.co/sipi/View.ashx?5507348","NC2024/0017676")</f>
        <v>NC2024/0017676</v>
      </c>
      <c r="B132" s="1" t="s">
        <v>8</v>
      </c>
      <c r="C132" s="1" t="s">
        <v>458</v>
      </c>
      <c r="D132" s="1" t="s">
        <v>455</v>
      </c>
      <c r="E132" s="1" t="s">
        <v>9</v>
      </c>
      <c r="F132" s="1" t="s">
        <v>459</v>
      </c>
      <c r="G132" s="1" t="s">
        <v>78</v>
      </c>
      <c r="H132" s="1" t="s">
        <v>460</v>
      </c>
      <c r="I132" s="21" t="s">
        <v>617</v>
      </c>
      <c r="J132" s="7"/>
      <c r="K132" t="str">
        <f t="shared" si="2"/>
        <v>INSERT INTO patentes(expediente,tipoPatente,titulo,fecha,estado,inventor, apoderado,cip ) VALUES('NC2024/0017676','Patente de Invención Nacional','PROTEÍNA HÍBRIDA PARA EL DIAGNÓSTICO MOLECULAR DE ALERGIA INDUCIDA POR ÁCAROS DOMÉSTICOS','20-12-. 2024','Publicada sin pago','LUIS  CARABALLO,LEONARDO  PUERTA LLERENA,DALGYS  MARTÍNEZ DE LA OSSA','CARLOS REINALDO OLARTE GARCIA','C07K 14/435,A61K 39/35,C07K 5/00,A61K 35/38,A61K 39/00,A61K 39/39');</v>
      </c>
    </row>
    <row r="133" spans="1:11" ht="145.19999999999999" x14ac:dyDescent="0.3">
      <c r="A133" s="4" t="str">
        <f>HYPERLINK("http://sipi.sic.gov.co/sipi/View.ashx?5715339","NC2025/0006900")</f>
        <v>NC2025/0006900</v>
      </c>
      <c r="B133" s="1" t="s">
        <v>8</v>
      </c>
      <c r="C133" s="1" t="s">
        <v>461</v>
      </c>
      <c r="D133" s="1" t="s">
        <v>462</v>
      </c>
      <c r="E133" s="1" t="s">
        <v>9</v>
      </c>
      <c r="F133" s="1" t="s">
        <v>463</v>
      </c>
      <c r="G133" s="1" t="s">
        <v>463</v>
      </c>
      <c r="H133" s="1" t="s">
        <v>464</v>
      </c>
      <c r="I133" s="21" t="s">
        <v>463</v>
      </c>
      <c r="J133" s="7"/>
      <c r="K133" t="str">
        <f t="shared" si="2"/>
        <v>INSERT INTO patentes(expediente,tipoPatente,titulo,fecha,estado,inventor, apoderado,cip ) VALUES('NC2025/0006900','Patente de Invención Nacional','SISTEMA DE UN SEÑALIZADOR LUMINOSO PORTABLE CONTROLADO POR MEDIO DE DISTINTOS CONTROLES A TRAVÉS DE UN MÉTODO Y PROCEDIMIENTO PARA USUARIOS DE BICICLETA, MOTO, PATINETA ELÉCTRICA, SILLA DE RUEDAS O EN CUALQUIER OTRO MEDIO DE MOVILIDAD TERRESTRE QUE UTILICE','26-05-. 2025','Publicada sin pago','Jonathan Alexander Nieves Suarez','Jonathan Alexander Nieves Suarez','F21S 10/06,F21L 4/00,F21V 23/00,F21V 23/04,A41D 13/01,F21V 21/088,F21V 33/00,G07C 5/08,H04M 1/72454,H04M 1/72457,H04M 11/04');</v>
      </c>
    </row>
    <row r="134" spans="1:11" ht="66" x14ac:dyDescent="0.3">
      <c r="A134" s="4" t="str">
        <f>HYPERLINK("http://sipi.sic.gov.co/sipi/View.ashx?4998192","NC2023/0018430")</f>
        <v>NC2023/0018430</v>
      </c>
      <c r="B134" s="1" t="s">
        <v>8</v>
      </c>
      <c r="C134" s="1" t="s">
        <v>465</v>
      </c>
      <c r="D134" s="1" t="s">
        <v>466</v>
      </c>
      <c r="E134" s="1" t="s">
        <v>9</v>
      </c>
      <c r="F134" s="1" t="s">
        <v>467</v>
      </c>
      <c r="G134" s="1" t="s">
        <v>278</v>
      </c>
      <c r="H134" s="1" t="s">
        <v>468</v>
      </c>
      <c r="I134" s="21" t="s">
        <v>618</v>
      </c>
      <c r="J134" s="7"/>
      <c r="K134" t="str">
        <f t="shared" si="2"/>
        <v>INSERT INTO patentes(expediente,tipoPatente,titulo,fecha,estado,inventor, apoderado,cip ) VALUES('NC2023/0018430','Patente de Invención Nacional','COMPOSICIÓN DE MICROEMULSIÓN DE DINOTEFURAN, SU PROCESO DE PREPARACIÓN Y USO','26-12-. 2023','Publicada sin pago','RAFAELA CRISTINA  FEITOSA CORSI ,Natália GONÇALVES,JOÃO PAULO  ALEIXO ,Felipe Augusto SOARES DA SILVA','CAROLINA MERCEDES DAZA MONTALVO','A01N 43/40,A01N 51/00,A01P 7/04');</v>
      </c>
    </row>
    <row r="135" spans="1:11" ht="66" x14ac:dyDescent="0.3">
      <c r="A135" s="4" t="str">
        <f>HYPERLINK("http://sipi.sic.gov.co/sipi/View.ashx?5687341","NC2025/0006021")</f>
        <v>NC2025/0006021</v>
      </c>
      <c r="B135" s="1" t="s">
        <v>8</v>
      </c>
      <c r="C135" s="1" t="s">
        <v>469</v>
      </c>
      <c r="D135" s="1" t="s">
        <v>470</v>
      </c>
      <c r="E135" s="1" t="s">
        <v>9</v>
      </c>
      <c r="F135" s="1" t="s">
        <v>471</v>
      </c>
      <c r="G135" s="1" t="s">
        <v>472</v>
      </c>
      <c r="H135" s="1" t="s">
        <v>473</v>
      </c>
      <c r="I135" s="21" t="s">
        <v>619</v>
      </c>
      <c r="J135" s="7"/>
      <c r="K135" t="str">
        <f t="shared" si="2"/>
        <v>INSERT INTO patentes(expediente,tipoPatente,titulo,fecha,estado,inventor, apoderado,cip ) VALUES('NC2025/0006021','Patente de Invención Nacional','UTENSILIO DE COCCIÓN PARA UN APARATO DE PREPARACIÓN DE ALIMENTOS','09-05-. 2025','Publicada sin pago','Marie  DUSSART,Gautier FRADET,Johann PETITALLOT,Guillaume PRIETO,Frédéric SEURAT','INES CONSUELO BENJUMEA RENDON','A21B 2/00,A21B 5/00,A21B 5/02,A47J 27/00');</v>
      </c>
    </row>
    <row r="136" spans="1:11" ht="79.2" x14ac:dyDescent="0.3">
      <c r="A136" s="4" t="str">
        <f>HYPERLINK("http://sipi.sic.gov.co/sipi/View.ashx?5687380","NC2025/0006019")</f>
        <v>NC2025/0006019</v>
      </c>
      <c r="B136" s="1" t="s">
        <v>8</v>
      </c>
      <c r="C136" s="1" t="s">
        <v>474</v>
      </c>
      <c r="D136" s="1" t="s">
        <v>470</v>
      </c>
      <c r="E136" s="1" t="s">
        <v>9</v>
      </c>
      <c r="F136" s="1" t="s">
        <v>475</v>
      </c>
      <c r="G136" s="1" t="s">
        <v>472</v>
      </c>
      <c r="H136" s="1" t="s">
        <v>476</v>
      </c>
      <c r="I136" s="21" t="s">
        <v>619</v>
      </c>
      <c r="J136" s="7"/>
      <c r="K136" t="str">
        <f t="shared" si="2"/>
        <v>INSERT INTO patentes(expediente,tipoPatente,titulo,fecha,estado,inventor, apoderado,cip ) VALUES('NC2025/0006019','Patente de Invención Nacional','APARATO PARA LA PREPARACIÓN DE ALIMENTOS QUE COMPRENDE UNA CARCASA Y UN UTENSILIO DE COCCIÓN EXTRAÍBLE','09-05-. 2025','Publicada sin pago','Bernard ALLEMAND,Marie  DUSSART,Gautier FRADET,Johann PETITALLOT,Guillaume PRIETO,Frédéric SEURAT','INES CONSUELO BENJUMEA RENDON','A47J 36/12,A47J 31/44,A47J 43/07');</v>
      </c>
    </row>
    <row r="137" spans="1:11" ht="92.4" x14ac:dyDescent="0.3">
      <c r="A137" s="4" t="str">
        <f>HYPERLINK("http://sipi.sic.gov.co/sipi/View.ashx?4986182","NC2023/0017721")</f>
        <v>NC2023/0017721</v>
      </c>
      <c r="B137" s="1" t="s">
        <v>8</v>
      </c>
      <c r="C137" s="1" t="s">
        <v>477</v>
      </c>
      <c r="D137" s="1" t="s">
        <v>478</v>
      </c>
      <c r="E137" s="1" t="s">
        <v>9</v>
      </c>
      <c r="F137" s="1" t="s">
        <v>479</v>
      </c>
      <c r="G137" s="1" t="s">
        <v>78</v>
      </c>
      <c r="H137" s="1" t="s">
        <v>480</v>
      </c>
      <c r="I137" s="21" t="s">
        <v>620</v>
      </c>
      <c r="J137" s="7"/>
      <c r="K137" t="str">
        <f t="shared" si="2"/>
        <v>INSERT INTO patentes(expediente,tipoPatente,titulo,fecha,estado,inventor, apoderado,cip ) VALUES('NC2023/0017721','Patente de Invención Nacional','MÉTODO DE OBTENCIÓN DE DATOS DE PREDICCIÓN DE RIESGO DE ENFERMEDAD METABÓLICA','18-12-. 2023','Publicada sin pago','Bernadette Francisca KLOTZ CEBERIO,Diana Harleidy  VARGAS TRUJILLO,Narmer Fernando  GALEANO VANEGAS ','CARLOS REINALDO OLARTE GARCIA','G16B 40/20,G16B 50/10,G16H 20/60,G16H 50/20,H01L 27/32,G06F 1/00,G16H 50/30');</v>
      </c>
    </row>
    <row r="138" spans="1:11" ht="39.6" x14ac:dyDescent="0.3">
      <c r="A138" s="4" t="str">
        <f>HYPERLINK("http://sipi.sic.gov.co/sipi/View.ashx?4993978","NC2023/0018200")</f>
        <v>NC2023/0018200</v>
      </c>
      <c r="B138" s="1" t="s">
        <v>8</v>
      </c>
      <c r="C138" s="1" t="s">
        <v>481</v>
      </c>
      <c r="D138" s="1" t="s">
        <v>482</v>
      </c>
      <c r="E138" s="1" t="s">
        <v>9</v>
      </c>
      <c r="F138" s="1" t="s">
        <v>483</v>
      </c>
      <c r="G138" s="1" t="s">
        <v>78</v>
      </c>
      <c r="H138" s="1" t="s">
        <v>484</v>
      </c>
      <c r="I138" s="21" t="s">
        <v>620</v>
      </c>
      <c r="J138" s="7"/>
      <c r="K138" t="str">
        <f t="shared" si="2"/>
        <v>INSERT INTO patentes(expediente,tipoPatente,titulo,fecha,estado,inventor, apoderado,cip ) VALUES('NC2023/0018200','Patente de Invención Nacional','BEBIDA LÁCTEA FERMENTADA PARA EL RENDIMIENTO MENTAL Y MÉTODO DE OBTENCIÓN','22-12-. 2023','Publicada sin pago','Bernadette Francisca KLOTZ CEBERIO,Mary Luz Cano Sepúlveda','CARLOS REINALDO OLARTE GARCIA','C12N 1/20,A23L 2/52,C12R 1/125');</v>
      </c>
    </row>
    <row r="139" spans="1:11" ht="66" x14ac:dyDescent="0.3">
      <c r="A139" s="4" t="str">
        <f>HYPERLINK("http://sipi.sic.gov.co/sipi/View.ashx?5481543","NC2024/0017930")</f>
        <v>NC2024/0017930</v>
      </c>
      <c r="B139" s="1" t="s">
        <v>8</v>
      </c>
      <c r="C139" s="1" t="s">
        <v>485</v>
      </c>
      <c r="D139" s="1" t="s">
        <v>486</v>
      </c>
      <c r="E139" s="1" t="s">
        <v>9</v>
      </c>
      <c r="F139" s="1" t="s">
        <v>487</v>
      </c>
      <c r="G139" s="1" t="s">
        <v>163</v>
      </c>
      <c r="H139" s="1" t="s">
        <v>488</v>
      </c>
      <c r="I139" s="21" t="s">
        <v>568</v>
      </c>
      <c r="J139" s="7"/>
      <c r="K139" t="str">
        <f t="shared" si="2"/>
        <v>INSERT INTO patentes(expediente,tipoPatente,titulo,fecha,estado,inventor, apoderado,cip ) VALUES('NC2024/0017930','Patente de Invención Nacional','PROCEDIMIENTO PARA LA PRODUCCIÓN DE POLIHIDROXIBUTIRATO (PHB) A PARTIR DE RESIDUOS DEL BENEFICIO DE CAFÉ','24-12-. 2024','Publicada sin pago','HOWARD DIEGO  RAMÍREZ MALULE,DAVID ANDRÉS     GÓMEZ RÍOS    ,GUSTAVO ANDRÉS   SANJUAN VANEGAS,MARÍA CAMILA  LÓPEZ AGUDELO ','FELIPE EDUARDO  FIGUEROA CARDOZO','C12P 1/04,C12P 7/02,C12P 7/42');</v>
      </c>
    </row>
    <row r="140" spans="1:11" ht="118.8" x14ac:dyDescent="0.3">
      <c r="A140" s="4" t="str">
        <f>HYPERLINK("http://sipi.sic.gov.co/sipi/View.ashx?5004149","NC2023/0018742")</f>
        <v>NC2023/0018742</v>
      </c>
      <c r="B140" s="1" t="s">
        <v>8</v>
      </c>
      <c r="C140" s="1" t="s">
        <v>489</v>
      </c>
      <c r="D140" s="2">
        <v>45289</v>
      </c>
      <c r="E140" s="1" t="s">
        <v>9</v>
      </c>
      <c r="F140" s="1" t="s">
        <v>490</v>
      </c>
      <c r="G140" s="1" t="s">
        <v>491</v>
      </c>
      <c r="H140" s="1" t="s">
        <v>492</v>
      </c>
      <c r="I140" s="1" t="s">
        <v>621</v>
      </c>
      <c r="J140" s="7"/>
      <c r="K140" t="str">
        <f t="shared" si="2"/>
        <v>INSERT INTO patentes(expediente,tipoPatente,titulo,fecha,estado,inventor, apoderado,cip ) VALUES('NC2023/0018742','Patente de Invención Nacional','PROCESO DE PURIFICACIÓN DE MACROMOLÉCULAS CON ETAPAS DE PRECIPITACIÓN SELECTIVA, CONCENTRACIÓN Y DIÁLISIS COMBINADAS EN CONDICIONES CONSTANTES DE ESTABILIDAD CON EL CUAL SE OBTIENEN FORMULACIONES ESTABLES Y DE ALTA PUREZA','2023-12-29','Publicada sin pago','SERGIO ANDRÉS PULIDO MUÑOZ,LUIS RAFAEL DELGADO LEON,MARIA FERNANDA FLOREZ GONZALEZ,LINA MARIA ESCOBAR NARANJO,ALBA MELINA BECERRA GUEVARA,GUILLERMO JAVIER VILÁ ORTIZ,NATALIA GIL LEON,MARIO ANDRES BERRIO CASTAÑEDA','MONICA MARCELA LOZANO GUZMAN','B01D 11/02,B01D 11/04,B01D 17/02,B01D 17/04,B01D 21/00,B01D 53/00,B01D 53/14');</v>
      </c>
    </row>
    <row r="141" spans="1:11" ht="105.6" x14ac:dyDescent="0.3">
      <c r="A141" s="4" t="str">
        <f>HYPERLINK("http://sipi.sic.gov.co/sipi/View.ashx?5004037","NC2023/0018740")</f>
        <v>NC2023/0018740</v>
      </c>
      <c r="B141" s="1" t="s">
        <v>8</v>
      </c>
      <c r="C141" s="1" t="s">
        <v>493</v>
      </c>
      <c r="D141" s="2">
        <v>45289</v>
      </c>
      <c r="E141" s="1" t="s">
        <v>9</v>
      </c>
      <c r="F141" s="1" t="s">
        <v>494</v>
      </c>
      <c r="G141" s="1" t="s">
        <v>491</v>
      </c>
      <c r="H141" s="1" t="s">
        <v>495</v>
      </c>
      <c r="I141" s="1" t="s">
        <v>621</v>
      </c>
      <c r="J141" s="7"/>
      <c r="K141" t="str">
        <f t="shared" si="2"/>
        <v>INSERT INTO patentes(expediente,tipoPatente,titulo,fecha,estado,inventor, apoderado,cip ) VALUES('NC2023/0018740','Patente de Invención Nacional','SISTEMA DE SEPARACIÓN DE COMPONENTES PLASMÁTICOS POR DESCONGELAMIENTO CONTROLADO MEDIANTE UNOS MECANISMOS INTEGRADOS DE TRANSFERENCIA TÉRMICA CONTROLADA Y SEDIMENTACIÓN ACELERADA EN UNOS MEDIOS CONTINUOS','2023-12-29','Publicada sin pago','SERGIO ANDRÉS PULIDO MUÑOZ,LUIS RAFAEL DELGADO LEON,GUILLERMO JAVIER VILÁ ORTIZ','MONICA MARCELA LOZANO GUZMAN','A61B 5/00');</v>
      </c>
    </row>
    <row r="142" spans="1:11" ht="118.8" x14ac:dyDescent="0.3">
      <c r="A142" s="4" t="str">
        <f>HYPERLINK("http://sipi.sic.gov.co/sipi/View.ashx?5004100","NC2023/0018741")</f>
        <v>NC2023/0018741</v>
      </c>
      <c r="B142" s="1" t="s">
        <v>8</v>
      </c>
      <c r="C142" s="1" t="s">
        <v>496</v>
      </c>
      <c r="D142" s="2">
        <v>45289</v>
      </c>
      <c r="E142" s="1" t="s">
        <v>9</v>
      </c>
      <c r="F142" s="1" t="s">
        <v>497</v>
      </c>
      <c r="G142" s="1" t="s">
        <v>491</v>
      </c>
      <c r="H142" s="1" t="s">
        <v>498</v>
      </c>
      <c r="I142" s="1" t="s">
        <v>621</v>
      </c>
      <c r="J142" s="7"/>
      <c r="K142" t="str">
        <f t="shared" si="2"/>
        <v>INSERT INTO patentes(expediente,tipoPatente,titulo,fecha,estado,inventor, apoderado,cip ) VALUES('NC2023/0018741','Patente de Invención Nacional','SISTEMA DE SEPARACIÓN ESPONTÁNEA Y/O INDUCIDA LÍQUIDO-LÍQUIDO PARA OBTENCIÓN DE SOLUCIONES ENRIQUECIDAS EN PROTEÍNAS TERMOESTABLES ACTIVAS','2023-12-29','Publicada sin pago','SERGIO ANDRÉS PULIDO MUÑOZ,LUIS RAFAEL DELGADO LEON,MARIA FERNANDA FLOREZ GONZALEZ,LINA MARIA ESCOBAR NARANJO,ALBA MELINA BECERRA GUEVARA,GUILLERMO JAVIER VILÁ ORTIZ','MONICA MARCELA LOZANO GUZMAN','B01D 11/02,B01D 11/04,B01D 15/00,B01D 15/08,B01D 17/02,B01D 17/04,B01D 19/00,B01D 53/00,B01D 53/14');</v>
      </c>
    </row>
    <row r="143" spans="1:11" ht="105.6" x14ac:dyDescent="0.3">
      <c r="A143" s="4" t="str">
        <f>HYPERLINK("http://sipi.sic.gov.co/sipi/View.ashx?5656081","NC2025/0004761")</f>
        <v>NC2025/0004761</v>
      </c>
      <c r="B143" s="1" t="s">
        <v>8</v>
      </c>
      <c r="C143" s="1" t="s">
        <v>499</v>
      </c>
      <c r="D143" s="2">
        <v>45762</v>
      </c>
      <c r="E143" s="1" t="s">
        <v>9</v>
      </c>
      <c r="F143" s="1" t="s">
        <v>500</v>
      </c>
      <c r="G143" s="1" t="s">
        <v>500</v>
      </c>
      <c r="H143" s="1" t="s">
        <v>501</v>
      </c>
      <c r="I143" s="1" t="s">
        <v>500</v>
      </c>
      <c r="J143" s="7"/>
      <c r="K143" t="str">
        <f t="shared" si="2"/>
        <v>INSERT INTO patentes(expediente,tipoPatente,titulo,fecha,estado,inventor, apoderado,cip ) VALUES('NC2025/0004761','Patente de Invención Nacional','ELECTROCOAGULACIÓN FRACCIONADA PARA TRATAR AGUAS RESIDUALES Y PRODUCIR LODOS CON ALTO CONTENIDO DE MATERIA ORGÁNICA','2025-04-15','Publicada sin pago','JUAN JOSE LOZADA CASTRO','JUAN JOSE LOZADA CASTRO','C02F 1/463,C02F 11/16,C02F 11/04,C02F 11/00,C02F 9/00,C02F 3/00,C02F 3/16,C02F 3/30');</v>
      </c>
    </row>
    <row r="144" spans="1:11" ht="26.4" x14ac:dyDescent="0.3">
      <c r="A144" s="4" t="str">
        <f>HYPERLINK("http://sipi.sic.gov.co/sipi/View.ashx?5638185","NC2025/0004326")</f>
        <v>NC2025/0004326</v>
      </c>
      <c r="B144" s="1" t="s">
        <v>8</v>
      </c>
      <c r="C144" s="1" t="s">
        <v>502</v>
      </c>
      <c r="D144" s="2">
        <v>45749</v>
      </c>
      <c r="E144" s="1" t="s">
        <v>9</v>
      </c>
      <c r="F144" s="1" t="s">
        <v>503</v>
      </c>
      <c r="G144" s="1" t="s">
        <v>185</v>
      </c>
      <c r="H144" s="1" t="s">
        <v>504</v>
      </c>
      <c r="I144" s="1" t="s">
        <v>622</v>
      </c>
      <c r="J144" s="7"/>
      <c r="K144" t="str">
        <f t="shared" si="2"/>
        <v>INSERT INTO patentes(expediente,tipoPatente,titulo,fecha,estado,inventor, apoderado,cip ) VALUES('NC2025/0004326','Patente de Invención Nacional','GRANADA AEREA DE DESPLIEGUE CONTROLADO','2025-04-02','Publicada sin pago','Julián Ándres Pérez Tejedor','GUILLERMO ANDRES NAVARRO ROMERO','F41H 11/02,F42B 12/60');</v>
      </c>
    </row>
    <row r="145" spans="1:11" ht="52.8" x14ac:dyDescent="0.3">
      <c r="A145" s="4" t="str">
        <f>HYPERLINK("http://sipi.sic.gov.co/sipi/View.ashx?5259008","NC2024/0008910")</f>
        <v>NC2024/0008910</v>
      </c>
      <c r="B145" s="1" t="s">
        <v>8</v>
      </c>
      <c r="C145" s="1" t="s">
        <v>505</v>
      </c>
      <c r="D145" s="2">
        <v>45477</v>
      </c>
      <c r="E145" s="1" t="s">
        <v>9</v>
      </c>
      <c r="F145" s="1" t="s">
        <v>506</v>
      </c>
      <c r="G145" s="1" t="s">
        <v>507</v>
      </c>
      <c r="H145" s="1" t="s">
        <v>508</v>
      </c>
      <c r="I145" s="1" t="s">
        <v>623</v>
      </c>
      <c r="J145" s="7"/>
      <c r="K145" t="str">
        <f t="shared" si="2"/>
        <v>INSERT INTO patentes(expediente,tipoPatente,titulo,fecha,estado,inventor, apoderado,cip ) VALUES('NC2024/0008910','Patente de Invención Nacional','BOLSA DE PLÁSTICO','2024-07-04','Publicada sin pago','Georg DONNER,Marcel HORNBERG','SILVIA PATIÑO RODRIGUEZ','B65D 33/08,B65D 33/10,B65D 33/28,A45C 3/06');</v>
      </c>
    </row>
    <row r="146" spans="1:11" ht="79.2" x14ac:dyDescent="0.3">
      <c r="A146" s="4" t="str">
        <f>HYPERLINK("http://sipi.sic.gov.co/sipi/View.ashx?5008962","NC2024/0000065")</f>
        <v>NC2024/0000065</v>
      </c>
      <c r="B146" s="1" t="s">
        <v>8</v>
      </c>
      <c r="C146" s="1" t="s">
        <v>509</v>
      </c>
      <c r="D146" s="2">
        <v>45295</v>
      </c>
      <c r="E146" s="1" t="s">
        <v>9</v>
      </c>
      <c r="F146" s="1" t="s">
        <v>510</v>
      </c>
      <c r="G146" s="1" t="s">
        <v>511</v>
      </c>
      <c r="H146" s="1" t="s">
        <v>512</v>
      </c>
      <c r="I146" s="1" t="s">
        <v>624</v>
      </c>
      <c r="J146" s="7"/>
      <c r="K146" t="str">
        <f t="shared" si="2"/>
        <v>INSERT INTO patentes(expediente,tipoPatente,titulo,fecha,estado,inventor, apoderado,cip ) VALUES('NC2024/0000065','Patente de Invención Nacional','CHALECO DE EJERCICIO MULTIFUNCIONAL PARA EL FORTALECIMIENTO MUSCULAR Y LA CORRECCIÓN DE POSTURA','2024-01-04','Publicada sin pago','Federico Restrepo Cucalón ','ANDRES FELIPE RAHN NIETO','A63B 21/00,A63B 21/02,A63B 21/055,A63B 21/06,A63B 22/08,A63B 69/00');</v>
      </c>
    </row>
    <row r="147" spans="1:11" ht="79.2" x14ac:dyDescent="0.3">
      <c r="A147" s="4" t="str">
        <f>HYPERLINK("http://sipi.sic.gov.co/sipi/View.ashx?5481537","NC2024/0018188")</f>
        <v>NC2024/0018188</v>
      </c>
      <c r="B147" s="1" t="s">
        <v>8</v>
      </c>
      <c r="C147" s="1" t="s">
        <v>513</v>
      </c>
      <c r="D147" s="2">
        <v>45654</v>
      </c>
      <c r="E147" s="1" t="s">
        <v>9</v>
      </c>
      <c r="F147" s="1" t="s">
        <v>514</v>
      </c>
      <c r="G147" s="1" t="s">
        <v>163</v>
      </c>
      <c r="H147" s="1" t="s">
        <v>515</v>
      </c>
      <c r="I147" s="1" t="s">
        <v>568</v>
      </c>
      <c r="J147" s="7"/>
      <c r="K147" t="str">
        <f t="shared" si="2"/>
        <v>INSERT INTO patentes(expediente,tipoPatente,titulo,fecha,estado,inventor, apoderado,cip ) VALUES('NC2024/0018188','Patente de Invención Nacional','ANDAMIOS FLEXIBLES DE POLICAPROLACTONA/NANOTUBOS DE CARBONO PARA RECUPERACIÓN DE LA FUNCIÓN CONTRÁCTIL DEL MÚSCULO ESTRIADO','2024-12-28','Publicada sin pago','JOSÉ OSCAR GUTIÉRREZ MONTES,MARIO JOSÉ CORREA QUICENO,PAOLA ANDREA NEUTA ARCINIEGAS,ADALBERTO SÁNCHEZ GÓMEZ,JOSÉ  PEÑARANDA ARMBRECHT,JULIO CESAR  CAICEDO ANGULO','FELIPE EDUARDO  FIGUEROA CARDOZO','G01N 33/554,G01N 33/00,C01B 32/158');</v>
      </c>
    </row>
    <row r="148" spans="1:11" ht="79.2" x14ac:dyDescent="0.3">
      <c r="A148" s="4" t="str">
        <f>HYPERLINK("http://sipi.sic.gov.co/sipi/View.ashx?5517141","NC2024/0018415")</f>
        <v>NC2024/0018415</v>
      </c>
      <c r="B148" s="1" t="s">
        <v>8</v>
      </c>
      <c r="C148" s="1" t="s">
        <v>516</v>
      </c>
      <c r="D148" s="2">
        <v>45657</v>
      </c>
      <c r="E148" s="1" t="s">
        <v>9</v>
      </c>
      <c r="F148" s="1" t="s">
        <v>517</v>
      </c>
      <c r="G148" s="1" t="s">
        <v>286</v>
      </c>
      <c r="H148" s="1" t="s">
        <v>518</v>
      </c>
      <c r="I148" s="1" t="s">
        <v>589</v>
      </c>
      <c r="J148" s="7"/>
      <c r="K148" t="str">
        <f t="shared" si="2"/>
        <v>INSERT INTO patentes(expediente,tipoPatente,titulo,fecha,estado,inventor, apoderado,cip ) VALUES('NC2024/0018415','Patente de Invención Nacional','SISTEMA DE GENERACIÓN DE BURBUJAS INMERSO EN TANQUE DE PROCESAMIENTO DE LIQUIDOS Y REMOCIÓN DE SOLIDOS SEDIMENTABLES','2024-12-31','Publicada sin pago','CARLOS ANDRES DIAZ PRADA,FLAMINIO GUARIN ARENAS,CARLOS ANDRES CARDONA ROMERO,Natalia Prieto jimenez','LUZ MARA HERRERA HERRERA','C10G 1/00,C10G 2/00,C10G 17/00,C02F 1/00,C02F 3/00,C02F 9/00');</v>
      </c>
    </row>
    <row r="149" spans="1:11" ht="79.2" x14ac:dyDescent="0.3">
      <c r="A149" s="4" t="str">
        <f>HYPERLINK("http://sipi.sic.gov.co/sipi/View.ashx?5004804","NC2023/0018749")</f>
        <v>NC2023/0018749</v>
      </c>
      <c r="B149" s="1" t="s">
        <v>8</v>
      </c>
      <c r="C149" s="1" t="s">
        <v>519</v>
      </c>
      <c r="D149" s="2">
        <v>45291</v>
      </c>
      <c r="E149" s="1" t="s">
        <v>9</v>
      </c>
      <c r="F149" s="1" t="s">
        <v>520</v>
      </c>
      <c r="G149" s="1" t="s">
        <v>286</v>
      </c>
      <c r="H149" s="1" t="s">
        <v>521</v>
      </c>
      <c r="I149" s="1" t="s">
        <v>589</v>
      </c>
      <c r="J149" s="7"/>
      <c r="K149" t="str">
        <f t="shared" si="2"/>
        <v>INSERT INTO patentes(expediente,tipoPatente,titulo,fecha,estado,inventor, apoderado,cip ) VALUES('NC2023/0018749','Patente de Invención Nacional','CANASTA DE ENVÍO Y/O RECOLECCIÓN DE SÓLIDOS DE DIFERENTES FORMAS Y GEOMETRÍAS EN TRAMPAS DE RASPADORES','2023-12-31','Publicada sin pago','OSCAR SANDY NEIRA LOPEZ,EDWIN ENRIQUE GUTIERREZ FUENTES,CHRISTIAM ANTONIO MERCADO GARCÍA,CLAUDIA INÉS PÉREZ MORALES','LUZ MARA HERRERA HERRERA','B08B 9/04,F16L 55/28,C09K 8/42,C09K 8/60,E21B 33/16,B01J 13/00');</v>
      </c>
    </row>
    <row r="150" spans="1:11" ht="198" x14ac:dyDescent="0.3">
      <c r="A150" s="4" t="str">
        <f>HYPERLINK("http://sipi.sic.gov.co/sipi/View.ashx?5004820","NC2023/0018754")</f>
        <v>NC2023/0018754</v>
      </c>
      <c r="B150" s="1" t="s">
        <v>8</v>
      </c>
      <c r="C150" s="1" t="s">
        <v>522</v>
      </c>
      <c r="D150" s="2">
        <v>45291</v>
      </c>
      <c r="E150" s="1" t="s">
        <v>9</v>
      </c>
      <c r="F150" s="1" t="s">
        <v>523</v>
      </c>
      <c r="G150" s="1" t="s">
        <v>286</v>
      </c>
      <c r="H150" s="1" t="s">
        <v>524</v>
      </c>
      <c r="I150" s="1" t="s">
        <v>589</v>
      </c>
      <c r="J150" s="7"/>
      <c r="K150" t="str">
        <f t="shared" si="2"/>
        <v>INSERT INTO patentes(expediente,tipoPatente,titulo,fecha,estado,inventor, apoderado,cip ) VALUES('NC2023/0018754','Patente de Invención Nacional','TECNOLOGIA TUCANO-UNIDAD DE FILTRACION CON MEMBRANAS OLEOFILICAS SELECTIVAS','2023-12-31','Publicada sin pago','JUAN DAVID MONROY AVILA,RAUL LEONARDO TRIANA ALONSO,Jose Luis Gomez Vergel,Luis Carlos FONSECA HERREÑO,Juan Sebastian RAMIREZ PRADILLA,Gerardo Moya Avendaño,YHITZAK SHAMIR VÁSQUEZ REYES,Jenny Fabiana Solano Martinez,Wilfredo de Jesús Sanchez Fuentes,Fabian Eulises Mogollon Moreno,Alberto Antonio Diaz Camacho,Alvaro David Vergara Polo,Edwar Enrique Ochoa Macea,Mauricio Montenegro Martinez,IRINA DEL PILAR BERNAL CASTRO','LUZ MARA HERRERA HERRERA','B01D 27/08,B01D 29/15,B01D 29/50,B01D 29/52,B01D 29/96,B01D 35/30,B01D 46/00,B01D 46/24');</v>
      </c>
    </row>
    <row r="151" spans="1:11" ht="92.4" x14ac:dyDescent="0.3">
      <c r="A151" s="4" t="str">
        <f>HYPERLINK("http://sipi.sic.gov.co/sipi/View.ashx?5005212","NC2023/0018757")</f>
        <v>NC2023/0018757</v>
      </c>
      <c r="B151" s="1" t="s">
        <v>8</v>
      </c>
      <c r="C151" s="1" t="s">
        <v>525</v>
      </c>
      <c r="D151" s="2">
        <v>45291</v>
      </c>
      <c r="E151" s="1" t="s">
        <v>9</v>
      </c>
      <c r="F151" s="1" t="s">
        <v>526</v>
      </c>
      <c r="G151" s="1" t="s">
        <v>286</v>
      </c>
      <c r="H151" s="1" t="s">
        <v>527</v>
      </c>
      <c r="I151" s="1" t="s">
        <v>589</v>
      </c>
      <c r="J151" s="7"/>
      <c r="K151" t="str">
        <f t="shared" si="2"/>
        <v>INSERT INTO patentes(expediente,tipoPatente,titulo,fecha,estado,inventor, apoderado,cip ) VALUES('NC2023/0018757','Patente de Invención Nacional','PROCESO DE GENERACIÓN DE VAPOR EN SUBSUELO MEDIANTE LA INYECCIÓN DE NEBLINA PARA RECOBRO DE CRUDO PESADO ','2023-12-31','Publicada sin pago','HECTOR ARNOLDO RODRIGUEZ PRADA,LUIS EDUARDO  GARCIA RODRIGUEZ ,Romel Antonio Perez Romero,Javier Enrique Guerrero','LUZ MARA HERRERA HERRERA','E21B 36/00,E21B 43/00,E21B 43/12,E21B 43/16,E21B 43/22,E21B 43/24,E21B 43/243');</v>
      </c>
    </row>
    <row r="152" spans="1:11" ht="145.19999999999999" x14ac:dyDescent="0.3">
      <c r="A152" s="4" t="str">
        <f>HYPERLINK("http://sipi.sic.gov.co/sipi/View.ashx?5005210","NC2023/0018756")</f>
        <v>NC2023/0018756</v>
      </c>
      <c r="B152" s="1" t="s">
        <v>8</v>
      </c>
      <c r="C152" s="1" t="s">
        <v>528</v>
      </c>
      <c r="D152" s="2">
        <v>45291</v>
      </c>
      <c r="E152" s="1" t="s">
        <v>9</v>
      </c>
      <c r="F152" s="1" t="s">
        <v>529</v>
      </c>
      <c r="G152" s="1" t="s">
        <v>286</v>
      </c>
      <c r="H152" s="1" t="s">
        <v>530</v>
      </c>
      <c r="I152" s="1" t="s">
        <v>589</v>
      </c>
      <c r="J152" s="7"/>
      <c r="K152" t="str">
        <f t="shared" si="2"/>
        <v>INSERT INTO patentes(expediente,tipoPatente,titulo,fecha,estado,inventor, apoderado,cip ) VALUES('NC2023/0018756','Patente de Invención Nacional','MATERIALES NANO PARTICULADOS MULTITEMÁTICOS: MÉTODOS DE OBTENCIÓN Y FORMULACIÓN DEL CONTENIDO ELEMENTAL METÁLICO PARA SU APLICACIÓN COMO NANO FERTILIZANTES','2023-12-31','Publicada sin pago','RODRIGO GONZALO TORRES SAÉZ,Cesar Armando CACERES MANTILLA,Juan Sebastian RAMIREZ PRADILLA,Ivan Felipe Valdivieso Niño,Juan Pablo  Arenas Diaz','LUZ MARA HERRERA HERRERA','C01B 33/06,C01G 23/00,C01G 49/00,C01G 51/00,C01G 53/00,C01G 55/00,C25B 1/00,C25B 1/04,C25B 11/04,B01J 23/40,B01J 23/42');</v>
      </c>
    </row>
    <row r="153" spans="1:11" ht="145.19999999999999" x14ac:dyDescent="0.3">
      <c r="A153" s="4" t="str">
        <f>HYPERLINK("http://sipi.sic.gov.co/sipi/View.ashx?5005237","NC2023/0018759")</f>
        <v>NC2023/0018759</v>
      </c>
      <c r="B153" s="1" t="s">
        <v>8</v>
      </c>
      <c r="C153" s="1" t="s">
        <v>531</v>
      </c>
      <c r="D153" s="2">
        <v>45291</v>
      </c>
      <c r="E153" s="1" t="s">
        <v>9</v>
      </c>
      <c r="F153" s="1" t="s">
        <v>532</v>
      </c>
      <c r="G153" s="1" t="s">
        <v>286</v>
      </c>
      <c r="H153" s="1" t="s">
        <v>533</v>
      </c>
      <c r="I153" s="1" t="s">
        <v>589</v>
      </c>
      <c r="J153" s="7"/>
      <c r="K153" t="str">
        <f t="shared" si="2"/>
        <v>INSERT INTO patentes(expediente,tipoPatente,titulo,fecha,estado,inventor, apoderado,cip ) VALUES('NC2023/0018759','Patente de Invención Nacional','SÍNTESIS DE UNA RESINA DE INTERCAMBIO ANIÓNICA  ','2023-12-31','Publicada sin pago','José Manuel,  USURIAGA TORRES,CESAR ARMANDO CÁCERES MANTILLA,DANIEL ALEJANDRO PATROUILLEAU QUINTANA,Diego Rolando Merchan Arenas,Johan Ernesto Gallo Gualdrón','LUZ MARA HERRERA HERRERA','B01J 20/00,B01D 5/00,B01D 11/02,B01D 11/04,B01D 15/00,B01D 17/02,B01D 17/04,B01D 21/00,B01D 53/02,B01D 53/14,B01D 53/34');</v>
      </c>
    </row>
    <row r="154" spans="1:11" ht="92.4" x14ac:dyDescent="0.3">
      <c r="A154" s="4" t="str">
        <f>HYPERLINK("http://sipi.sic.gov.co/sipi/View.ashx?5005232","NC2023/0018758")</f>
        <v>NC2023/0018758</v>
      </c>
      <c r="B154" s="1" t="s">
        <v>8</v>
      </c>
      <c r="C154" s="1" t="s">
        <v>534</v>
      </c>
      <c r="D154" s="2">
        <v>45291</v>
      </c>
      <c r="E154" s="1" t="s">
        <v>9</v>
      </c>
      <c r="F154" s="1" t="s">
        <v>535</v>
      </c>
      <c r="G154" s="1" t="s">
        <v>286</v>
      </c>
      <c r="H154" s="1" t="s">
        <v>536</v>
      </c>
      <c r="I154" s="1" t="s">
        <v>589</v>
      </c>
      <c r="J154" s="7"/>
      <c r="K154" t="str">
        <f t="shared" si="2"/>
        <v>INSERT INTO patentes(expediente,tipoPatente,titulo,fecha,estado,inventor, apoderado,cip ) VALUES('NC2023/0018758','Patente de Invención Nacional','SISTEMA DE MEDICIÓN DE CORROSIÓN E INCRUSTACIÓN EN FONDO DE POZOS INYECTORES ','2023-12-31','Publicada sin pago','Jose Constain SASTOKE MORENO,Jose Adalberto CARRASCAL LOPEZ,MARLY FABIOLA PARRA ERAZO,Jose David Ibañez Sehuanes,EDGAR EDUARDO MAFIOL VASQUEZ','LUZ MARA HERRERA HERRERA','E21B 41/02,E21B 47/00,G01N 17/04,E21B 47/08,E21B 47/10,E21B 47/12,G01V 3/30');</v>
      </c>
    </row>
    <row r="155" spans="1:11" ht="92.4" x14ac:dyDescent="0.3">
      <c r="A155" s="4" t="str">
        <f>HYPERLINK("http://sipi.sic.gov.co/sipi/View.ashx?5729494","NC2025/0007469")</f>
        <v>NC2025/0007469</v>
      </c>
      <c r="B155" s="1" t="s">
        <v>8</v>
      </c>
      <c r="C155" s="1" t="s">
        <v>537</v>
      </c>
      <c r="D155" s="2">
        <v>45813</v>
      </c>
      <c r="E155" s="1" t="s">
        <v>9</v>
      </c>
      <c r="F155" s="1" t="s">
        <v>538</v>
      </c>
      <c r="G155" s="1" t="s">
        <v>539</v>
      </c>
      <c r="H155" s="1" t="s">
        <v>540</v>
      </c>
      <c r="I155" s="1" t="s">
        <v>538</v>
      </c>
      <c r="J155" s="7"/>
      <c r="K155" t="str">
        <f t="shared" si="2"/>
        <v>INSERT INTO patentes(expediente,tipoPatente,titulo,fecha,estado,inventor, apoderado,cip ) VALUES('NC2025/0007469','Patente de Invención Nacional','SISTEMA AUTOMATIZADO DE HIDRATACIÓN DE TALLOS DE PLANTAS','2025-06-05','Publicada sin pago','EDILSON ALEJANDRO OROZCO CASTAÑEDA,JUAN PABLO RUIZ ZULUAGA,ANYELO ALEJANDRO GIRALDO OSPITIA,JHON FREDY HINCAPIE ECHEVERRI,JEISON DANIEL ECHEVERRI LOPEZ','EDILSON ALEJANDRO OROZCO CASTAÑEDA','A01D 37/04,A01D 57/22,A01D 37/00');</v>
      </c>
    </row>
    <row r="156" spans="1:11" ht="92.4" x14ac:dyDescent="0.3">
      <c r="A156" s="4" t="str">
        <f>HYPERLINK("http://sipi.sic.gov.co/sipi/View.ashx?5731743","NC2025/0007529")</f>
        <v>NC2025/0007529</v>
      </c>
      <c r="B156" s="1" t="s">
        <v>8</v>
      </c>
      <c r="C156" s="1" t="s">
        <v>541</v>
      </c>
      <c r="D156" s="2">
        <v>45814</v>
      </c>
      <c r="E156" s="1" t="s">
        <v>9</v>
      </c>
      <c r="F156" s="1" t="s">
        <v>542</v>
      </c>
      <c r="G156" s="1" t="s">
        <v>542</v>
      </c>
      <c r="H156" s="1" t="s">
        <v>543</v>
      </c>
      <c r="I156" s="1" t="s">
        <v>542</v>
      </c>
      <c r="J156" s="7"/>
      <c r="K156" t="str">
        <f t="shared" si="2"/>
        <v>INSERT INTO patentes(expediente,tipoPatente,titulo,fecha,estado,inventor, apoderado,cip ) VALUES('NC2025/0007529','Patente de Invención Nacional','PROCESO PARA LA ELABORACIÓN DE COLÁGENO  MARINO  A BASE DE  ESCAMAS DE PESCADO EN PRESENTACION DE GEL Y DE POLVO.','2025-06-06','Publicada sin pago','CARMEN ELENA AUZ AAGUIRRE','CARMEN ELENA AUZ AAGUIRRE','A23J 1/04,A23J 1/10,A23J 3/06,A23L 17/00,C09H 3/00,A61K 8/18,A61K 8/65');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B87C-E9D2-401A-8F4F-019DF81267BC}">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Pareja Grisales</dc:creator>
  <cp:lastModifiedBy>Alan Pareja Grisales</cp:lastModifiedBy>
  <dcterms:created xsi:type="dcterms:W3CDTF">2025-07-15T16:14:40Z</dcterms:created>
  <dcterms:modified xsi:type="dcterms:W3CDTF">2025-07-16T01:27:07Z</dcterms:modified>
</cp:coreProperties>
</file>